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B21" i="12"/>
  <c r="B20" i="12"/>
  <c r="B10" i="12"/>
  <c r="B12" i="12"/>
  <c r="B11" i="12"/>
  <c r="G613" i="1"/>
  <c r="G612" i="1"/>
  <c r="G611" i="1"/>
  <c r="F613" i="1"/>
  <c r="I612" i="1"/>
  <c r="F612" i="1"/>
  <c r="I611" i="1"/>
  <c r="F611" i="1"/>
  <c r="J604" i="1"/>
  <c r="J591" i="1"/>
  <c r="J593" i="1"/>
  <c r="J595" i="1"/>
  <c r="H582" i="1"/>
  <c r="G582" i="1"/>
  <c r="F582" i="1"/>
  <c r="G568" i="1"/>
  <c r="G567" i="1"/>
  <c r="K568" i="1"/>
  <c r="K567" i="1"/>
  <c r="I568" i="1"/>
  <c r="I567" i="1"/>
  <c r="H568" i="1"/>
  <c r="H567" i="1"/>
  <c r="F568" i="1"/>
  <c r="F567" i="1"/>
  <c r="G559" i="1"/>
  <c r="G558" i="1"/>
  <c r="G557" i="1"/>
  <c r="G532" i="1"/>
  <c r="G533" i="1"/>
  <c r="G531" i="1"/>
  <c r="G527" i="1"/>
  <c r="G528" i="1"/>
  <c r="G526" i="1"/>
  <c r="G522" i="1"/>
  <c r="G523" i="1"/>
  <c r="G521" i="1"/>
  <c r="H538" i="1"/>
  <c r="H537" i="1"/>
  <c r="H536" i="1"/>
  <c r="H543" i="1"/>
  <c r="H542" i="1"/>
  <c r="H541" i="1"/>
  <c r="I528" i="1"/>
  <c r="I527" i="1"/>
  <c r="I526" i="1"/>
  <c r="H528" i="1"/>
  <c r="H527" i="1"/>
  <c r="H526" i="1"/>
  <c r="F528" i="1"/>
  <c r="F527" i="1"/>
  <c r="F526" i="1"/>
  <c r="I523" i="1"/>
  <c r="I522" i="1"/>
  <c r="I521" i="1"/>
  <c r="H523" i="1"/>
  <c r="H522" i="1"/>
  <c r="H521" i="1"/>
  <c r="F523" i="1"/>
  <c r="F522" i="1"/>
  <c r="F521" i="1"/>
  <c r="I533" i="1"/>
  <c r="I532" i="1"/>
  <c r="I531" i="1"/>
  <c r="H533" i="1"/>
  <c r="H532" i="1"/>
  <c r="H531" i="1"/>
  <c r="F533" i="1"/>
  <c r="F532" i="1"/>
  <c r="F531" i="1"/>
  <c r="J523" i="1"/>
  <c r="J522" i="1"/>
  <c r="K521" i="1"/>
  <c r="J492" i="1" l="1"/>
  <c r="J491" i="1"/>
  <c r="I492" i="1"/>
  <c r="I491" i="1"/>
  <c r="H492" i="1"/>
  <c r="H491" i="1"/>
  <c r="I233" i="1" l="1"/>
  <c r="K239" i="1"/>
  <c r="J245" i="1"/>
  <c r="I245" i="1"/>
  <c r="H245" i="1"/>
  <c r="H244" i="1"/>
  <c r="K243" i="1"/>
  <c r="J243" i="1"/>
  <c r="I243" i="1"/>
  <c r="H243" i="1"/>
  <c r="H242" i="1"/>
  <c r="K240" i="1"/>
  <c r="J240" i="1"/>
  <c r="I240" i="1"/>
  <c r="H240" i="1"/>
  <c r="J239" i="1"/>
  <c r="I239" i="1"/>
  <c r="H239" i="1"/>
  <c r="G239" i="1"/>
  <c r="I238" i="1"/>
  <c r="H238" i="1"/>
  <c r="I251" i="1"/>
  <c r="J236" i="1"/>
  <c r="I236" i="1"/>
  <c r="I234" i="1"/>
  <c r="H234" i="1"/>
  <c r="J233" i="1"/>
  <c r="H233" i="1"/>
  <c r="J227" i="1"/>
  <c r="I227" i="1"/>
  <c r="H227" i="1"/>
  <c r="H226" i="1"/>
  <c r="K225" i="1"/>
  <c r="J225" i="1"/>
  <c r="I225" i="1"/>
  <c r="H225" i="1"/>
  <c r="H224" i="1"/>
  <c r="K222" i="1"/>
  <c r="J222" i="1"/>
  <c r="I222" i="1"/>
  <c r="H222" i="1"/>
  <c r="K221" i="1"/>
  <c r="J221" i="1"/>
  <c r="I221" i="1"/>
  <c r="H221" i="1"/>
  <c r="G221" i="1"/>
  <c r="I220" i="1"/>
  <c r="H220" i="1"/>
  <c r="J218" i="1"/>
  <c r="I218" i="1"/>
  <c r="K216" i="1"/>
  <c r="I216" i="1"/>
  <c r="H216" i="1"/>
  <c r="I215" i="1"/>
  <c r="H215" i="1"/>
  <c r="J209" i="1"/>
  <c r="I209" i="1"/>
  <c r="H209" i="1"/>
  <c r="H208" i="1"/>
  <c r="K207" i="1"/>
  <c r="J207" i="1"/>
  <c r="I207" i="1"/>
  <c r="H207" i="1"/>
  <c r="H206" i="1"/>
  <c r="K204" i="1"/>
  <c r="J204" i="1"/>
  <c r="I204" i="1"/>
  <c r="H204" i="1"/>
  <c r="K203" i="1"/>
  <c r="J203" i="1"/>
  <c r="I203" i="1"/>
  <c r="H203" i="1"/>
  <c r="G203" i="1"/>
  <c r="I202" i="1" l="1"/>
  <c r="H202" i="1"/>
  <c r="I200" i="1"/>
  <c r="K198" i="1"/>
  <c r="I198" i="1"/>
  <c r="H198" i="1"/>
  <c r="J197" i="1"/>
  <c r="I197" i="1"/>
  <c r="H235" i="1" l="1"/>
  <c r="I241" i="1"/>
  <c r="H241" i="1"/>
  <c r="K241" i="1"/>
  <c r="K238" i="1"/>
  <c r="H251" i="1"/>
  <c r="K236" i="1"/>
  <c r="H236" i="1"/>
  <c r="J234" i="1"/>
  <c r="K233" i="1"/>
  <c r="K220" i="1"/>
  <c r="K218" i="1"/>
  <c r="H218" i="1"/>
  <c r="J216" i="1"/>
  <c r="K215" i="1"/>
  <c r="J215" i="1"/>
  <c r="K205" i="1"/>
  <c r="I205" i="1"/>
  <c r="H205" i="1"/>
  <c r="K202" i="1"/>
  <c r="H197" i="1"/>
  <c r="K358" i="1" l="1"/>
  <c r="J333" i="1" l="1"/>
  <c r="I333" i="1"/>
  <c r="J314" i="1"/>
  <c r="I314" i="1"/>
  <c r="I277" i="1"/>
  <c r="G277" i="1"/>
  <c r="I320" i="1"/>
  <c r="F215" i="1" l="1"/>
  <c r="F197" i="1"/>
  <c r="F238" i="1"/>
  <c r="F220" i="1"/>
  <c r="F202" i="1"/>
  <c r="F245" i="1" l="1"/>
  <c r="F243" i="1"/>
  <c r="F242" i="1"/>
  <c r="F241" i="1"/>
  <c r="F240" i="1"/>
  <c r="F239" i="1"/>
  <c r="F236" i="1"/>
  <c r="F234" i="1"/>
  <c r="F233" i="1"/>
  <c r="F227" i="1"/>
  <c r="F225" i="1"/>
  <c r="F224" i="1"/>
  <c r="F223" i="1"/>
  <c r="F222" i="1"/>
  <c r="F221" i="1"/>
  <c r="F218" i="1"/>
  <c r="F216" i="1"/>
  <c r="F209" i="1"/>
  <c r="F207" i="1"/>
  <c r="F206" i="1"/>
  <c r="F205" i="1"/>
  <c r="F204" i="1"/>
  <c r="F203" i="1"/>
  <c r="F200" i="1"/>
  <c r="F198" i="1"/>
  <c r="F281" i="1" l="1"/>
  <c r="F319" i="1"/>
  <c r="F315" i="1"/>
  <c r="F296" i="1"/>
  <c r="F277" i="1"/>
  <c r="F276" i="1"/>
  <c r="F360" i="1"/>
  <c r="F359" i="1"/>
  <c r="F3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H662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90" i="1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H25" i="13" s="1"/>
  <c r="C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E31" i="2" s="1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G461" i="1" s="1"/>
  <c r="H640" i="1" s="1"/>
  <c r="H452" i="1"/>
  <c r="F460" i="1"/>
  <c r="G460" i="1"/>
  <c r="H460" i="1"/>
  <c r="I460" i="1"/>
  <c r="F461" i="1"/>
  <c r="H639" i="1" s="1"/>
  <c r="J639" i="1" s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G640" i="1"/>
  <c r="G641" i="1"/>
  <c r="H641" i="1"/>
  <c r="G642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C18" i="2"/>
  <c r="C26" i="10"/>
  <c r="L351" i="1"/>
  <c r="A31" i="12"/>
  <c r="C70" i="2"/>
  <c r="D18" i="13"/>
  <c r="C18" i="13" s="1"/>
  <c r="D17" i="13"/>
  <c r="C17" i="13" s="1"/>
  <c r="F78" i="2"/>
  <c r="F81" i="2" s="1"/>
  <c r="D50" i="2"/>
  <c r="F18" i="2"/>
  <c r="E103" i="2"/>
  <c r="D91" i="2"/>
  <c r="E62" i="2"/>
  <c r="E63" i="2" s="1"/>
  <c r="D19" i="13"/>
  <c r="C19" i="13" s="1"/>
  <c r="E13" i="13"/>
  <c r="C13" i="13" s="1"/>
  <c r="E78" i="2"/>
  <c r="E81" i="2" s="1"/>
  <c r="L427" i="1"/>
  <c r="H112" i="1"/>
  <c r="J641" i="1"/>
  <c r="J571" i="1"/>
  <c r="L433" i="1"/>
  <c r="I169" i="1"/>
  <c r="H169" i="1"/>
  <c r="J643" i="1"/>
  <c r="J476" i="1"/>
  <c r="H626" i="1" s="1"/>
  <c r="G338" i="1"/>
  <c r="G352" i="1" s="1"/>
  <c r="F169" i="1"/>
  <c r="J140" i="1"/>
  <c r="G22" i="2"/>
  <c r="C29" i="10"/>
  <c r="H140" i="1"/>
  <c r="L393" i="1"/>
  <c r="C138" i="2" s="1"/>
  <c r="F22" i="13"/>
  <c r="H338" i="1"/>
  <c r="H352" i="1" s="1"/>
  <c r="G192" i="1"/>
  <c r="H192" i="1"/>
  <c r="E128" i="2"/>
  <c r="C35" i="10"/>
  <c r="L309" i="1"/>
  <c r="G36" i="2"/>
  <c r="L565" i="1"/>
  <c r="C22" i="13"/>
  <c r="A40" i="12" l="1"/>
  <c r="A13" i="12"/>
  <c r="H476" i="1"/>
  <c r="H624" i="1" s="1"/>
  <c r="J624" i="1" s="1"/>
  <c r="L614" i="1"/>
  <c r="K598" i="1"/>
  <c r="G647" i="1" s="1"/>
  <c r="J651" i="1"/>
  <c r="L570" i="1"/>
  <c r="F571" i="1"/>
  <c r="L560" i="1"/>
  <c r="I552" i="1"/>
  <c r="L539" i="1"/>
  <c r="K549" i="1"/>
  <c r="L544" i="1"/>
  <c r="I545" i="1"/>
  <c r="H545" i="1"/>
  <c r="H552" i="1"/>
  <c r="K550" i="1"/>
  <c r="K551" i="1"/>
  <c r="G552" i="1"/>
  <c r="L529" i="1"/>
  <c r="L534" i="1"/>
  <c r="F552" i="1"/>
  <c r="L524" i="1"/>
  <c r="K500" i="1"/>
  <c r="G161" i="2"/>
  <c r="K503" i="1"/>
  <c r="G164" i="2"/>
  <c r="G156" i="2"/>
  <c r="D15" i="13"/>
  <c r="C15" i="13" s="1"/>
  <c r="C25" i="10"/>
  <c r="H33" i="13"/>
  <c r="C32" i="10"/>
  <c r="G649" i="1"/>
  <c r="J649" i="1" s="1"/>
  <c r="C124" i="2"/>
  <c r="C19" i="10"/>
  <c r="C111" i="2"/>
  <c r="H647" i="1"/>
  <c r="C21" i="10"/>
  <c r="K257" i="1"/>
  <c r="K271" i="1" s="1"/>
  <c r="J257" i="1"/>
  <c r="J271" i="1" s="1"/>
  <c r="I662" i="1"/>
  <c r="H257" i="1"/>
  <c r="H271" i="1" s="1"/>
  <c r="I257" i="1"/>
  <c r="I271" i="1" s="1"/>
  <c r="L256" i="1"/>
  <c r="C122" i="2"/>
  <c r="G257" i="1"/>
  <c r="G271" i="1" s="1"/>
  <c r="D14" i="13"/>
  <c r="C14" i="13" s="1"/>
  <c r="C121" i="2"/>
  <c r="C125" i="2"/>
  <c r="C18" i="10"/>
  <c r="E8" i="13"/>
  <c r="C8" i="13" s="1"/>
  <c r="G476" i="1"/>
  <c r="H623" i="1" s="1"/>
  <c r="J623" i="1" s="1"/>
  <c r="L401" i="1"/>
  <c r="C139" i="2" s="1"/>
  <c r="H408" i="1"/>
  <c r="H644" i="1" s="1"/>
  <c r="J644" i="1" s="1"/>
  <c r="J338" i="1"/>
  <c r="J352" i="1" s="1"/>
  <c r="L328" i="1"/>
  <c r="C10" i="10"/>
  <c r="E16" i="13"/>
  <c r="C16" i="13" s="1"/>
  <c r="C17" i="10"/>
  <c r="C20" i="10"/>
  <c r="C120" i="2"/>
  <c r="D6" i="13"/>
  <c r="C6" i="13" s="1"/>
  <c r="D12" i="13"/>
  <c r="C12" i="13" s="1"/>
  <c r="C16" i="10"/>
  <c r="C118" i="2"/>
  <c r="L247" i="1"/>
  <c r="F257" i="1"/>
  <c r="F271" i="1" s="1"/>
  <c r="C15" i="10"/>
  <c r="C110" i="2"/>
  <c r="L229" i="1"/>
  <c r="G660" i="1" s="1"/>
  <c r="C109" i="2"/>
  <c r="C123" i="2"/>
  <c r="L211" i="1"/>
  <c r="D7" i="13"/>
  <c r="C7" i="13" s="1"/>
  <c r="C119" i="2"/>
  <c r="C112" i="2"/>
  <c r="D5" i="13"/>
  <c r="C5" i="13" s="1"/>
  <c r="E115" i="2"/>
  <c r="E145" i="2" s="1"/>
  <c r="F338" i="1"/>
  <c r="F352" i="1" s="1"/>
  <c r="C11" i="10"/>
  <c r="F661" i="1"/>
  <c r="D29" i="13"/>
  <c r="C29" i="13" s="1"/>
  <c r="H661" i="1"/>
  <c r="G661" i="1"/>
  <c r="L362" i="1"/>
  <c r="C27" i="10" s="1"/>
  <c r="D127" i="2"/>
  <c r="D128" i="2" s="1"/>
  <c r="D145" i="2" s="1"/>
  <c r="G645" i="1"/>
  <c r="J645" i="1" s="1"/>
  <c r="D62" i="2"/>
  <c r="D63" i="2" s="1"/>
  <c r="F112" i="1"/>
  <c r="C62" i="2"/>
  <c r="C63" i="2" s="1"/>
  <c r="C78" i="2"/>
  <c r="C81" i="2" s="1"/>
  <c r="J640" i="1"/>
  <c r="I452" i="1"/>
  <c r="I461" i="1" s="1"/>
  <c r="H642" i="1" s="1"/>
  <c r="J642" i="1" s="1"/>
  <c r="J625" i="1"/>
  <c r="G625" i="1"/>
  <c r="H52" i="1"/>
  <c r="H619" i="1" s="1"/>
  <c r="J619" i="1" s="1"/>
  <c r="D18" i="2"/>
  <c r="J622" i="1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J647" i="1" l="1"/>
  <c r="L571" i="1"/>
  <c r="K552" i="1"/>
  <c r="L545" i="1"/>
  <c r="L408" i="1"/>
  <c r="G637" i="1" s="1"/>
  <c r="J637" i="1" s="1"/>
  <c r="C141" i="2"/>
  <c r="C144" i="2" s="1"/>
  <c r="H648" i="1"/>
  <c r="J648" i="1" s="1"/>
  <c r="D31" i="13"/>
  <c r="C31" i="13" s="1"/>
  <c r="H660" i="1"/>
  <c r="H664" i="1" s="1"/>
  <c r="H667" i="1" s="1"/>
  <c r="E33" i="13"/>
  <c r="D35" i="13" s="1"/>
  <c r="C128" i="2"/>
  <c r="C115" i="2"/>
  <c r="L257" i="1"/>
  <c r="L271" i="1" s="1"/>
  <c r="G632" i="1" s="1"/>
  <c r="J632" i="1" s="1"/>
  <c r="F660" i="1"/>
  <c r="C28" i="10"/>
  <c r="D22" i="10" s="1"/>
  <c r="G635" i="1"/>
  <c r="J635" i="1" s="1"/>
  <c r="G664" i="1"/>
  <c r="I661" i="1"/>
  <c r="G104" i="2"/>
  <c r="D104" i="2"/>
  <c r="F193" i="1"/>
  <c r="G627" i="1" s="1"/>
  <c r="J627" i="1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I660" i="1"/>
  <c r="I664" i="1" s="1"/>
  <c r="I672" i="1" s="1"/>
  <c r="C7" i="10" s="1"/>
  <c r="C145" i="2"/>
  <c r="H672" i="1"/>
  <c r="C6" i="10" s="1"/>
  <c r="F664" i="1"/>
  <c r="D17" i="10"/>
  <c r="D12" i="10"/>
  <c r="D18" i="10"/>
  <c r="D27" i="10"/>
  <c r="D24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G667" i="1"/>
  <c r="G672" i="1"/>
  <c r="C5" i="10" s="1"/>
  <c r="H656" i="1"/>
  <c r="C41" i="10"/>
  <c r="D38" i="10" s="1"/>
  <c r="I667" i="1" l="1"/>
  <c r="F672" i="1"/>
  <c r="C4" i="10" s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<sst xmlns="http://schemas.openxmlformats.org/spreadsheetml/2006/main" count="3961" uniqueCount="919">
  <si>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</si>
  <si>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</si>
  <si>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</si>
  <si>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</si>
  <si>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</si>
  <si>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</si>
  <si>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</si>
  <si>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</si>
  <si>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</si>
  <si>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</si>
  <si>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</si>
  <si>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</si>
  <si>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</si>
  <si>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</si>
  <si>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</si>
  <si>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</si>
  <si>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</si>
  <si>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</si>
  <si>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</si>
  <si>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</si>
  <si>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</si>
  <si>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</si>
  <si>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</si>
  <si>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</si>
  <si>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</si>
  <si>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</si>
  <si>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</si>
  <si>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</si>
  <si>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</si>
  <si>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</si>
  <si>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</si>
  <si>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</si>
  <si>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</si>
  <si>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</si>
  <si>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</si>
  <si>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</si>
  <si>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</si>
  <si>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</si>
  <si>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</si>
  <si>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</si>
  <si>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</si>
  <si>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</si>
  <si>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</si>
  <si>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</si>
  <si>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</si>
  <si>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</si>
  <si>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</si>
  <si>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</si>
  <si>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</si>
  <si>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</si>
  <si>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</si>
  <si>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</si>
  <si>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</si>
  <si>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</si>
  <si>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</si>
  <si>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</si>
  <si>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</si>
  <si>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</si>
  <si>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</si>
  <si>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</si>
  <si>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</si>
  <si>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</si>
  <si>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</si>
  <si>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</si>
  <si>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</si>
  <si>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</si>
  <si>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</si>
  <si>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</si>
  <si>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</si>
  <si>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</si>
  <si>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</si>
  <si>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</si>
  <si>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</si>
  <si>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</si>
  <si>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</si>
  <si>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</si>
  <si>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</si>
  <si>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</si>
  <si>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</si>
  <si>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</si>
  <si>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</si>
  <si>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</si>
  <si>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</si>
  <si>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</si>
  <si>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</si>
  <si>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</si>
  <si>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</si>
  <si>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</si>
  <si>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</si>
  <si>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</si>
  <si>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</si>
  <si>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</si>
  <si>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</si>
  <si>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</si>
  <si>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</si>
  <si>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</si>
  <si>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</si>
  <si>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</si>
  <si>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</si>
  <si>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</si>
  <si>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</si>
  <si>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</si>
  <si>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</si>
  <si>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</si>
  <si>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</si>
  <si>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</si>
  <si>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</si>
  <si>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</si>
  <si>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</si>
  <si>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</si>
  <si>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</si>
  <si>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</si>
  <si>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</si>
  <si>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</si>
  <si>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</si>
  <si>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</si>
  <si>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</si>
  <si>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</si>
  <si>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</si>
  <si>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</si>
  <si>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</si>
  <si>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</si>
  <si>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</si>
  <si>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</si>
  <si>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</si>
  <si>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</si>
  <si>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</si>
  <si>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</si>
  <si>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</si>
  <si>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</si>
  <si>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</si>
  <si>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</si>
  <si>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</si>
  <si>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</si>
  <si>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</si>
  <si>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</si>
  <si>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</si>
  <si>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</si>
  <si>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</si>
  <si>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</si>
  <si>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</si>
  <si>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</si>
  <si>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</si>
  <si>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</si>
  <si>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</si>
  <si>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</si>
  <si>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</si>
  <si>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</si>
  <si>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</si>
  <si>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</si>
  <si>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</si>
  <si>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</si>
  <si>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</si>
  <si>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</si>
  <si>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</si>
  <si>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</si>
  <si>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</si>
  <si>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</si>
  <si>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</si>
  <si>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</si>
  <si>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</si>
  <si>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</si>
  <si>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</si>
  <si>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</si>
  <si>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</si>
  <si>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</si>
  <si>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</si>
  <si>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</si>
  <si>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</si>
  <si>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</si>
  <si>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</si>
  <si>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</si>
  <si>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</si>
  <si>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</si>
  <si>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</si>
  <si>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</si>
  <si>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</si>
  <si>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</si>
  <si>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</si>
  <si>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</si>
  <si>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</si>
  <si>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</si>
  <si>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</si>
  <si>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</si>
  <si>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</si>
  <si>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</si>
  <si>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</si>
  <si>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</si>
  <si>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</si>
  <si>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</si>
  <si>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</si>
  <si>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</si>
  <si>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</si>
  <si>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</si>
  <si>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</si>
  <si>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</si>
  <si>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</si>
  <si>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</si>
  <si>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</si>
  <si>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</si>
  <si>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</si>
  <si>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</si>
  <si>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</si>
  <si>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</si>
  <si>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</si>
  <si>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</si>
  <si>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</si>
  <si>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</si>
  <si>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</si>
  <si>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</si>
  <si>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</si>
  <si>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</si>
  <si>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</si>
  <si>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</si>
  <si>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</si>
  <si>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</si>
  <si>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</si>
  <si>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</si>
  <si>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</si>
  <si>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</si>
  <si>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</si>
  <si>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</si>
  <si>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</si>
  <si>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</si>
  <si>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</si>
  <si>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</si>
  <si>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</si>
  <si>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</si>
  <si>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</si>
  <si>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</si>
  <si>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</si>
  <si>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</si>
  <si>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</si>
  <si>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</si>
  <si>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</si>
  <si>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</si>
  <si>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</si>
  <si>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</si>
  <si>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</si>
  <si>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</si>
  <si>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</si>
  <si>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</si>
  <si>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</si>
  <si>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</si>
  <si>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</si>
  <si>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</si>
  <si>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</si>
  <si>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</si>
  <si>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</si>
  <si>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</si>
  <si>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</si>
  <si>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</si>
  <si>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</si>
  <si>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</si>
  <si>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</si>
  <si>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</si>
  <si>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</si>
  <si>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</si>
  <si>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</si>
  <si>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</si>
  <si>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</si>
  <si>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</si>
  <si>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</si>
  <si>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</si>
  <si>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</si>
  <si>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</si>
  <si>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</si>
  <si>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</si>
  <si>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</si>
  <si>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</si>
  <si>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</si>
  <si>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</si>
  <si>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</si>
  <si>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</si>
  <si>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</si>
  <si>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</si>
  <si>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</si>
  <si>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</si>
  <si>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</si>
  <si>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</si>
  <si>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</si>
  <si>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</si>
  <si>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</si>
  <si>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</si>
  <si>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</si>
  <si>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</si>
  <si>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</si>
  <si>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</si>
  <si>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</si>
  <si>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</si>
  <si>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</si>
  <si>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</si>
  <si>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</si>
  <si>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</si>
  <si>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</si>
  <si>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</si>
  <si>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</si>
  <si>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</si>
  <si>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</si>
  <si>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</si>
  <si>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</si>
  <si>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</si>
  <si>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</si>
  <si>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</si>
  <si>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</si>
  <si>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</si>
  <si>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</si>
  <si>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</si>
  <si>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</si>
  <si>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</si>
  <si>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</si>
  <si>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</si>
  <si>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</si>
  <si>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</si>
  <si>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</si>
  <si>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</si>
  <si>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</si>
  <si>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</si>
  <si>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</si>
  <si>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</si>
  <si>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</si>
  <si>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</si>
  <si>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</si>
  <si>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</si>
  <si>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</si>
  <si>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</si>
  <si>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</si>
  <si>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</si>
  <si>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</si>
  <si>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</si>
  <si>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</si>
  <si>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</si>
  <si>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</si>
  <si>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</si>
  <si>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</si>
  <si>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</si>
  <si>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</si>
  <si>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</si>
  <si>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</si>
  <si>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</si>
  <si>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</si>
  <si>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</si>
  <si>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</si>
  <si>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</si>
  <si>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</si>
  <si>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</si>
  <si>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</si>
  <si>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</si>
  <si>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</si>
  <si>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</si>
  <si>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</si>
  <si>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</si>
  <si>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</si>
  <si>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</si>
  <si>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</si>
  <si>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</si>
  <si>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</si>
  <si>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</si>
  <si>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</si>
  <si>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</si>
  <si>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</si>
  <si>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</si>
  <si>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</si>
  <si>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</si>
  <si>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</si>
  <si>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</si>
  <si>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</si>
  <si>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</si>
  <si>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</si>
  <si>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</si>
  <si>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</si>
  <si>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</si>
  <si>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</si>
  <si>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</si>
  <si>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</si>
  <si>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</si>
  <si>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</si>
  <si>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</si>
  <si>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</si>
  <si>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</si>
  <si>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</si>
  <si>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</si>
  <si>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</si>
  <si>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</si>
  <si>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</si>
  <si>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</si>
  <si>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</si>
  <si>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</si>
  <si>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</si>
  <si>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</si>
  <si>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</si>
  <si>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</si>
  <si>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</si>
  <si>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</si>
  <si>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</si>
  <si>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</si>
  <si>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</si>
  <si>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</si>
  <si>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</si>
  <si>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</si>
  <si>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</si>
  <si>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</si>
  <si>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</si>
  <si>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</si>
  <si>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</si>
  <si>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</si>
  <si>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</si>
  <si>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</si>
  <si>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</si>
  <si>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</si>
  <si>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</si>
  <si>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</si>
  <si>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</si>
  <si>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</si>
  <si>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</si>
  <si>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</si>
  <si>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</si>
  <si>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</si>
  <si>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</si>
  <si>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</si>
  <si>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</si>
  <si>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</si>
  <si>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</si>
  <si>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</si>
  <si>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</si>
  <si>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</si>
  <si>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</si>
  <si>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</si>
  <si>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</si>
  <si>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</si>
  <si>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</si>
  <si>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</si>
  <si>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</si>
  <si>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</si>
  <si>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</si>
  <si>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</si>
  <si>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</si>
  <si>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</si>
  <si>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</si>
  <si>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</si>
  <si>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</si>
  <si>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</si>
  <si>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</si>
  <si>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</si>
  <si>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</si>
  <si>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</si>
  <si>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</si>
  <si>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</si>
  <si>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</si>
  <si>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</si>
  <si>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</si>
  <si>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</si>
  <si>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</si>
  <si>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</si>
  <si>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</si>
  <si>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</si>
  <si>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</si>
  <si>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</si>
  <si>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</si>
  <si>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</si>
  <si>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</si>
  <si>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</si>
  <si>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</si>
  <si>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</si>
  <si>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</si>
  <si>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</si>
  <si>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</si>
  <si>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</si>
  <si>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</si>
  <si>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</si>
  <si>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</si>
  <si>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</si>
  <si>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</si>
  <si>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</si>
  <si>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</si>
  <si>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</si>
  <si>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</si>
  <si>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</si>
  <si>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</si>
  <si>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</si>
  <si>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</si>
  <si>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</si>
  <si>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</si>
  <si>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</si>
  <si>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</si>
  <si>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</si>
  <si>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</si>
  <si>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</si>
  <si>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</si>
  <si>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</si>
  <si>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</si>
  <si>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</si>
  <si>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</si>
  <si>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</si>
  <si>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</si>
  <si>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</si>
  <si>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</si>
  <si>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</si>
  <si>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</si>
  <si>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</si>
  <si>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</si>
  <si>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</si>
  <si>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</si>
  <si>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</si>
  <si>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</si>
  <si>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</si>
  <si>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</si>
  <si>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</si>
  <si>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</si>
  <si>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</si>
  <si>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</si>
  <si>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</si>
  <si>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</si>
  <si>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</si>
  <si>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</si>
  <si>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</si>
  <si>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</si>
  <si>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</si>
  <si>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</si>
  <si>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</si>
  <si>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</si>
  <si>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</si>
  <si>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</si>
  <si>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</si>
  <si>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</si>
  <si>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</si>
  <si>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</si>
  <si>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</si>
  <si>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</si>
  <si>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</si>
  <si>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</si>
  <si>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</si>
  <si>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</si>
  <si>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</si>
  <si>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</si>
  <si>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</si>
  <si>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</si>
  <si>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</si>
  <si>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</si>
  <si>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</si>
  <si>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</si>
  <si>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</si>
  <si>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</si>
  <si>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</si>
  <si>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</si>
  <si>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</si>
  <si>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</si>
  <si>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</si>
  <si>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</si>
  <si>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</si>
  <si>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</si>
  <si>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</si>
  <si>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</si>
  <si>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</si>
  <si>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</si>
  <si>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</si>
  <si>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</si>
  <si>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</si>
  <si>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</si>
  <si>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</si>
  <si>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</si>
  <si>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</si>
  <si>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</si>
  <si>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</si>
  <si>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</si>
  <si>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</si>
  <si>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</si>
  <si>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</si>
  <si>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</si>
  <si>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</si>
  <si>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</si>
  <si>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</si>
  <si>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</si>
  <si>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</si>
  <si>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</si>
  <si>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</si>
  <si>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</si>
  <si>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</si>
  <si>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</si>
  <si>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</si>
  <si>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</si>
  <si>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</si>
  <si>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</si>
  <si>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</si>
  <si>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</si>
  <si>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</si>
  <si>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</si>
  <si>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</si>
  <si>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</si>
  <si>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</si>
  <si>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</si>
  <si>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</si>
  <si>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</si>
  <si>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</si>
  <si>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</si>
  <si>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</si>
  <si>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</si>
  <si>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</si>
  <si>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</si>
  <si>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</si>
  <si>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</si>
  <si>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</si>
  <si>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</si>
  <si>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</si>
  <si>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</si>
  <si>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</si>
  <si>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</si>
  <si>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</si>
  <si>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</si>
  <si>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</si>
  <si>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</si>
  <si>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</si>
  <si>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</si>
  <si>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</si>
  <si>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</si>
  <si>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</si>
  <si>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</si>
  <si>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</si>
  <si>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</si>
  <si>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</si>
  <si>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</si>
  <si>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</si>
  <si>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</si>
  <si>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</si>
  <si>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</si>
  <si>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</si>
  <si>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</si>
  <si>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</si>
  <si>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</si>
  <si>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</si>
  <si>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</si>
  <si>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</si>
  <si>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</si>
  <si>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</si>
  <si>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</si>
  <si>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</si>
  <si>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</si>
  <si>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</si>
  <si>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</si>
  <si>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</si>
  <si>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</si>
  <si>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</si>
  <si>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</si>
  <si>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</si>
  <si>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</si>
  <si>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</si>
  <si>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</si>
  <si>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</si>
  <si>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</si>
  <si>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</si>
  <si>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</si>
  <si>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</si>
  <si>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</si>
  <si>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</si>
  <si>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</si>
  <si>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</si>
  <si>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</si>
  <si>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</si>
  <si>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</si>
  <si>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</si>
  <si>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</si>
  <si>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</si>
  <si>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</si>
  <si>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</si>
  <si>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</si>
  <si>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</si>
  <si>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</si>
  <si>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</si>
  <si>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</si>
  <si>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</si>
  <si>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</si>
  <si>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</si>
  <si>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</si>
  <si>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</si>
  <si>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</si>
  <si>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</si>
  <si>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</si>
  <si>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</si>
  <si>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</si>
  <si>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</si>
  <si>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</si>
  <si>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</si>
  <si>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</si>
  <si>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</si>
  <si>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</si>
  <si>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</si>
  <si>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</si>
  <si>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</si>
  <si>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</si>
  <si>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</si>
  <si>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</si>
  <si>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</si>
  <si>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</si>
  <si>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</si>
  <si>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</si>
  <si>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</si>
  <si>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</si>
  <si>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</si>
  <si>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</si>
  <si>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</si>
  <si>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</si>
  <si>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</si>
  <si>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</si>
  <si>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</si>
  <si>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</si>
  <si>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</si>
  <si>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</si>
  <si>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</si>
  <si>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</si>
  <si>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</si>
  <si>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</si>
  <si>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</si>
  <si>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</si>
  <si>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</si>
  <si>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</si>
  <si>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</si>
  <si>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</si>
  <si>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</si>
  <si>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</si>
  <si>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</si>
  <si>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</si>
  <si>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</si>
  <si>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</si>
  <si>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</si>
  <si>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</si>
  <si>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</si>
  <si>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</si>
  <si>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</si>
  <si>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</si>
  <si>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</si>
  <si>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</si>
  <si>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</si>
  <si>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</si>
  <si>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</si>
  <si>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</si>
  <si>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</si>
  <si>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</si>
  <si>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</si>
  <si>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</si>
  <si>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</si>
  <si>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</si>
  <si>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</si>
  <si>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</si>
  <si>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</si>
  <si>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</si>
  <si>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</si>
  <si>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</si>
  <si>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</si>
  <si>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</si>
  <si>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</si>
  <si>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</si>
  <si>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</si>
  <si>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</si>
  <si>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</si>
  <si>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</si>
  <si>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</si>
  <si>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</si>
  <si>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</si>
  <si>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</si>
  <si>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</si>
  <si>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</si>
  <si>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</si>
  <si>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</si>
  <si>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</si>
  <si>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</si>
  <si>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</si>
  <si>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</si>
  <si>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</si>
  <si>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</si>
  <si>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</si>
  <si>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</si>
  <si>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</si>
  <si>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</si>
  <si>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</si>
  <si>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</si>
  <si>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</si>
  <si>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</si>
  <si>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</si>
  <si>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</si>
  <si>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</si>
  <si>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</si>
  <si>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</si>
  <si>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</si>
  <si>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</si>
  <si>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</si>
  <si>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</si>
  <si>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</si>
  <si>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</si>
  <si>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</si>
  <si>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</si>
  <si>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</si>
  <si>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</si>
  <si>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</si>
  <si>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</si>
  <si>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</si>
  <si>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</si>
  <si>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</si>
  <si>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</si>
  <si>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</si>
  <si>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</si>
  <si>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</si>
  <si>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</si>
  <si>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</si>
  <si>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</si>
  <si>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</si>
  <si>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</si>
  <si>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</si>
  <si>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</si>
  <si>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</si>
  <si>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</si>
  <si>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</si>
  <si>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</si>
  <si>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</si>
  <si>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</si>
  <si>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</si>
  <si>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</si>
  <si>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</si>
  <si>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</si>
  <si>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</si>
  <si>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</si>
  <si>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</si>
  <si>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</si>
  <si>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</si>
  <si>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</si>
  <si>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</si>
  <si>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</si>
  <si>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</si>
  <si>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</si>
  <si>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</si>
  <si>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</si>
  <si>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</si>
  <si>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</si>
  <si>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</si>
  <si>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</si>
  <si>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</si>
  <si>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</si>
  <si>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</si>
  <si>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</si>
  <si>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</si>
  <si>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</si>
  <si>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</si>
  <si>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</si>
  <si>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</si>
  <si>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</si>
  <si>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</si>
  <si>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</si>
  <si>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</si>
  <si>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</si>
  <si>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</si>
  <si>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</si>
  <si>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</si>
  <si>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</si>
  <si>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</si>
  <si>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</si>
  <si>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</si>
  <si>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</si>
  <si>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</si>
  <si>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</si>
  <si>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</si>
  <si>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</si>
  <si>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</si>
  <si>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</si>
  <si>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</si>
  <si>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</si>
  <si>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</si>
  <si>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</si>
  <si>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</si>
  <si>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</si>
  <si>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</si>
  <si>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</si>
  <si>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</si>
  <si>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</si>
  <si>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</si>
  <si>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</si>
  <si>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</si>
  <si>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</si>
  <si>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</si>
  <si>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</si>
  <si>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</si>
  <si>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</si>
  <si>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</si>
  <si>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</si>
  <si>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</si>
  <si>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</si>
  <si>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</si>
  <si>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</si>
  <si>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</si>
  <si>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</si>
  <si>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</si>
  <si>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</si>
  <si>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</si>
  <si>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</si>
  <si>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</si>
  <si>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</si>
  <si>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</si>
  <si>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</si>
  <si>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</si>
  <si>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</si>
  <si>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</si>
  <si>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</si>
  <si>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</si>
  <si>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</si>
  <si>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</si>
  <si>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</si>
  <si>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</si>
  <si>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</si>
  <si>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</si>
  <si>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</si>
  <si>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</si>
  <si>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</si>
  <si>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</si>
  <si>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</si>
  <si>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04/02</t>
  </si>
  <si>
    <t>07/22</t>
  </si>
  <si>
    <t>02/04</t>
  </si>
  <si>
    <t>08/16</t>
  </si>
  <si>
    <t>inc unrefunded bond</t>
  </si>
  <si>
    <t xml:space="preserve">Restated from equity to liability </t>
  </si>
  <si>
    <t>Londonderry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</si>
</sst>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319</v>
      </c>
      <c r="C2" s="21">
        <v>319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1724355.35</v>
      </c>
      <c r="G9" s="18">
        <v>5600</v>
      </c>
      <c r="H9" s="18"/>
      <c r="I9" s="18"/>
      <c r="J9" s="67">
        <f>SUM(I439)</f>
        <v>223866.5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63452.86</v>
      </c>
      <c r="H12" s="18"/>
      <c r="I12" s="18">
        <v>848159.58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10773.11</v>
      </c>
      <c r="H13" s="18">
        <v>355795.09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24733.84</v>
      </c>
      <c r="G14" s="18">
        <v>8721.5400000000009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26556.86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108204.49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1857293.6800000002</v>
      </c>
      <c r="G19" s="41">
        <f>SUM(G9:G18)</f>
        <v>115104.37000000001</v>
      </c>
      <c r="H19" s="41">
        <f>SUM(H9:H18)</f>
        <v>355795.09</v>
      </c>
      <c r="I19" s="41">
        <f>SUM(I9:I18)</f>
        <v>848159.58</v>
      </c>
      <c r="J19" s="41">
        <f>SUM(J9:J18)</f>
        <v>223866.5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601086.46</v>
      </c>
      <c r="G22" s="18"/>
      <c r="H22" s="18">
        <v>279029.98</v>
      </c>
      <c r="I22" s="18"/>
      <c r="J22" s="67">
        <f>SUM(I448)</f>
        <v>31496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140300.38</v>
      </c>
      <c r="G24" s="18">
        <v>47225.01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338644.71</v>
      </c>
      <c r="G28" s="18">
        <v>622.4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162209.29999999999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>
        <v>60171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1242240.8500000001</v>
      </c>
      <c r="G32" s="41">
        <f>SUM(G22:G31)</f>
        <v>47847.41</v>
      </c>
      <c r="H32" s="41">
        <f>SUM(H22:H31)</f>
        <v>339200.98</v>
      </c>
      <c r="I32" s="41">
        <f>SUM(I22:I31)</f>
        <v>0</v>
      </c>
      <c r="J32" s="41">
        <f>SUM(J22:J31)</f>
        <v>31496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26556.86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108204.49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16594.11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>
        <v>848159.58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402810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40700.1</v>
      </c>
      <c r="H48" s="18"/>
      <c r="I48" s="18"/>
      <c r="J48" s="13">
        <f>SUM(I459)</f>
        <v>192370.5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4038.34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615052.82999999996</v>
      </c>
      <c r="G51" s="41">
        <f>SUM(G35:G50)</f>
        <v>67256.959999999992</v>
      </c>
      <c r="H51" s="41">
        <f>SUM(H35:H50)</f>
        <v>16594.11</v>
      </c>
      <c r="I51" s="41">
        <f>SUM(I35:I50)</f>
        <v>848159.58</v>
      </c>
      <c r="J51" s="41">
        <f>SUM(J35:J50)</f>
        <v>192370.5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1857293.6800000002</v>
      </c>
      <c r="G52" s="41">
        <f>G51+G32</f>
        <v>115104.37</v>
      </c>
      <c r="H52" s="41">
        <f>H51+H32</f>
        <v>355795.08999999997</v>
      </c>
      <c r="I52" s="41">
        <f>I51+I32</f>
        <v>848159.58</v>
      </c>
      <c r="J52" s="41">
        <f>J51+J32</f>
        <v>223866.5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47066055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47066055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99968.5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19196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17292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745014.6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89875.97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971347.07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9.43</v>
      </c>
      <c r="H96" s="18"/>
      <c r="I96" s="18"/>
      <c r="J96" s="18">
        <v>66.680000000000007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1061302.03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9966.0499999999993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33489.769999999997</v>
      </c>
      <c r="G99" s="18">
        <v>88823.16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10827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3000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173.42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117178.8</v>
      </c>
      <c r="G110" s="18"/>
      <c r="H110" s="18">
        <v>8300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163808.03999999998</v>
      </c>
      <c r="G111" s="41">
        <f>SUM(G96:G110)</f>
        <v>1150134.6199999999</v>
      </c>
      <c r="H111" s="41">
        <f>SUM(H96:H110)</f>
        <v>19127</v>
      </c>
      <c r="I111" s="41">
        <f>SUM(I96:I110)</f>
        <v>0</v>
      </c>
      <c r="J111" s="41">
        <f>SUM(J96:J110)</f>
        <v>66.680000000000007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48201210.109999999</v>
      </c>
      <c r="G112" s="41">
        <f>G60+G111</f>
        <v>1150134.6199999999</v>
      </c>
      <c r="H112" s="41">
        <f>H60+H79+H94+H111</f>
        <v>19127</v>
      </c>
      <c r="I112" s="41">
        <f>I60+I111</f>
        <v>0</v>
      </c>
      <c r="J112" s="41">
        <f>J60+J111</f>
        <v>66.680000000000007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11692634.039999999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6550222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18242856.039999999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550194.51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301055.33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11812.5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23146.6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190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14072.2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886398.94000000006</v>
      </c>
      <c r="G136" s="41">
        <f>SUM(G123:G135)</f>
        <v>14072.2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19129254.98</v>
      </c>
      <c r="G140" s="41">
        <f>G121+SUM(G136:G137)</f>
        <v>14072.2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84942.55</v>
      </c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84942.55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169892.1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136622.89000000001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46717.2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200882.33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1010250.57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331013.69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48789.15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331013.69</v>
      </c>
      <c r="G162" s="41">
        <f>SUM(G150:G161)</f>
        <v>249671.47999999998</v>
      </c>
      <c r="H162" s="41">
        <f>SUM(H150:H161)</f>
        <v>1363482.76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415956.24</v>
      </c>
      <c r="G169" s="41">
        <f>G147+G162+SUM(G163:G168)</f>
        <v>249671.47999999998</v>
      </c>
      <c r="H169" s="41">
        <f>H147+H162+SUM(H163:H168)</f>
        <v>1363482.76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52273.74</v>
      </c>
      <c r="H179" s="18"/>
      <c r="I179" s="18"/>
      <c r="J179" s="18">
        <v>500000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52273.74</v>
      </c>
      <c r="H183" s="41">
        <f>SUM(H179:H182)</f>
        <v>0</v>
      </c>
      <c r="I183" s="41">
        <f>SUM(I179:I182)</f>
        <v>0</v>
      </c>
      <c r="J183" s="41">
        <f>SUM(J179:J182)</f>
        <v>500000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148703.5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440453.62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589157.12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589157.12</v>
      </c>
      <c r="G192" s="41">
        <f>G183+SUM(G188:G191)</f>
        <v>52273.74</v>
      </c>
      <c r="H192" s="41">
        <f>+H183+SUM(H188:H191)</f>
        <v>0</v>
      </c>
      <c r="I192" s="41">
        <f>I177+I183+SUM(I188:I191)</f>
        <v>0</v>
      </c>
      <c r="J192" s="41">
        <f>J183</f>
        <v>500000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68335578.450000003</v>
      </c>
      <c r="G193" s="47">
        <f>G112+G140+G169+G192</f>
        <v>1466152.0399999998</v>
      </c>
      <c r="H193" s="47">
        <f>H112+H140+H169+H192</f>
        <v>1382609.76</v>
      </c>
      <c r="I193" s="47">
        <f>I112+I140+I169+I192</f>
        <v>0</v>
      </c>
      <c r="J193" s="47">
        <f>J112+J140+J192</f>
        <v>500066.68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6454332.27+180966.57</f>
        <v>6635298.8399999999</v>
      </c>
      <c r="G197" s="18">
        <v>3455666.2</v>
      </c>
      <c r="H197" s="18">
        <f>95+1505.14+508.15</f>
        <v>2108.29</v>
      </c>
      <c r="I197" s="18">
        <f>86197.73+110519.06+1470.09+9946.94+35679.63</f>
        <v>243813.44999999998</v>
      </c>
      <c r="J197" s="18">
        <f>1330.95+7855.9+8212.33</f>
        <v>17399.18</v>
      </c>
      <c r="K197" s="18"/>
      <c r="L197" s="19">
        <f>SUM(F197:K197)</f>
        <v>10354285.959999997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251372.74+3184701.49+315535.45+160470.93</f>
        <v>3912080.6100000008</v>
      </c>
      <c r="G198" s="18">
        <v>2020194.43</v>
      </c>
      <c r="H198" s="18">
        <f>461887.73+13971.73</f>
        <v>475859.45999999996</v>
      </c>
      <c r="I198" s="18">
        <f>4341.63+15636.34+8058.92</f>
        <v>28036.89</v>
      </c>
      <c r="J198" s="18"/>
      <c r="K198" s="18">
        <f>1000+1662.93</f>
        <v>2662.9300000000003</v>
      </c>
      <c r="L198" s="19">
        <f>SUM(F198:K198)</f>
        <v>6438834.3200000003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16068+10614+29317.16+40000.03</f>
        <v>95999.19</v>
      </c>
      <c r="G200" s="18">
        <v>45153.16</v>
      </c>
      <c r="H200" s="18"/>
      <c r="I200" s="18">
        <f>870.88</f>
        <v>870.88</v>
      </c>
      <c r="J200" s="18"/>
      <c r="K200" s="18"/>
      <c r="L200" s="19">
        <f>SUM(F200:K200)</f>
        <v>142023.23000000001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246567.3+257626.4+644921.35+1382.14+757802.05</f>
        <v>1908299.2399999998</v>
      </c>
      <c r="G202" s="18">
        <v>1040870.13</v>
      </c>
      <c r="H202" s="18">
        <f>131952.3</f>
        <v>131952.29999999999</v>
      </c>
      <c r="I202" s="18">
        <f>1670.28+6970.24+944.62</f>
        <v>9585.1400000000012</v>
      </c>
      <c r="J202" s="18"/>
      <c r="K202" s="18">
        <f>169.63</f>
        <v>169.63</v>
      </c>
      <c r="L202" s="19">
        <f t="shared" ref="L202:L208" si="0">SUM(F202:K202)</f>
        <v>3090876.4399999995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17370.93+301063.24+86540.11</f>
        <v>404974.27999999997</v>
      </c>
      <c r="G203" s="18">
        <f>194767.48+138447.3+3179.82</f>
        <v>336394.60000000003</v>
      </c>
      <c r="H203" s="18">
        <f>4475.43+4296.68</f>
        <v>8772.11</v>
      </c>
      <c r="I203" s="18">
        <f>7303.59+38874.7+585+3200.88</f>
        <v>49964.169999999991</v>
      </c>
      <c r="J203" s="18">
        <f>9859.51</f>
        <v>9859.51</v>
      </c>
      <c r="K203" s="18">
        <f>895.03</f>
        <v>895.03</v>
      </c>
      <c r="L203" s="19">
        <f t="shared" si="0"/>
        <v>810859.70000000007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140026.87</f>
        <v>140026.87</v>
      </c>
      <c r="G204" s="18">
        <v>93200.31</v>
      </c>
      <c r="H204" s="18">
        <f>196595.29</f>
        <v>196595.29</v>
      </c>
      <c r="I204" s="18">
        <f>15001.32</f>
        <v>15001.32</v>
      </c>
      <c r="J204" s="18">
        <f>2247.14</f>
        <v>2247.14</v>
      </c>
      <c r="K204" s="18">
        <f>7317.82</f>
        <v>7317.82</v>
      </c>
      <c r="L204" s="19">
        <f t="shared" si="0"/>
        <v>454388.75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822521+6290.02</f>
        <v>828811.02</v>
      </c>
      <c r="G205" s="18">
        <v>425111.71</v>
      </c>
      <c r="H205" s="18">
        <f>9703.31+1203.56+6033.25</f>
        <v>16940.12</v>
      </c>
      <c r="I205" s="18">
        <f>3115.27</f>
        <v>3115.27</v>
      </c>
      <c r="J205" s="18"/>
      <c r="K205" s="18">
        <f>6582.1</f>
        <v>6582.1</v>
      </c>
      <c r="L205" s="19">
        <f t="shared" si="0"/>
        <v>1280560.2200000002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226260.74</f>
        <v>226260.74</v>
      </c>
      <c r="G206" s="18">
        <v>115265.71</v>
      </c>
      <c r="H206" s="18">
        <f>23749.75</f>
        <v>23749.75</v>
      </c>
      <c r="I206" s="18"/>
      <c r="J206" s="18"/>
      <c r="K206" s="18"/>
      <c r="L206" s="19">
        <f t="shared" si="0"/>
        <v>365276.2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675175.97+280912.42</f>
        <v>956088.3899999999</v>
      </c>
      <c r="G207" s="18">
        <v>451835.74</v>
      </c>
      <c r="H207" s="18">
        <f>2417.1+2736.26+8892.03+28336.64+7215.6+88353.74+26062.32+348050.83</f>
        <v>512064.52</v>
      </c>
      <c r="I207" s="18">
        <f>64506.15+4744.67+65910.37+172217.48+32554.71+11780.55</f>
        <v>351713.93000000005</v>
      </c>
      <c r="J207" s="18">
        <f>1797.75+18563.19</f>
        <v>20360.939999999999</v>
      </c>
      <c r="K207" s="18">
        <f>387.45</f>
        <v>387.45</v>
      </c>
      <c r="L207" s="19">
        <f t="shared" si="0"/>
        <v>2292450.9700000002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565.88+1678108.81</f>
        <v>1678674.69</v>
      </c>
      <c r="I208" s="18"/>
      <c r="J208" s="18"/>
      <c r="K208" s="18"/>
      <c r="L208" s="19">
        <f t="shared" si="0"/>
        <v>1678674.69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172325.59</f>
        <v>172325.59</v>
      </c>
      <c r="G209" s="18">
        <v>81558.83</v>
      </c>
      <c r="H209" s="18">
        <f>132990.61</f>
        <v>132990.60999999999</v>
      </c>
      <c r="I209" s="18">
        <f>28912.7</f>
        <v>28912.7</v>
      </c>
      <c r="J209" s="18">
        <f>156560.14</f>
        <v>156560.14000000001</v>
      </c>
      <c r="K209" s="18"/>
      <c r="L209" s="19">
        <f>SUM(F209:K209)</f>
        <v>572347.87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15280164.77</v>
      </c>
      <c r="G211" s="41">
        <f t="shared" si="1"/>
        <v>8065250.8199999994</v>
      </c>
      <c r="H211" s="41">
        <f t="shared" si="1"/>
        <v>3179707.1399999997</v>
      </c>
      <c r="I211" s="41">
        <f t="shared" si="1"/>
        <v>731013.75</v>
      </c>
      <c r="J211" s="41">
        <f t="shared" si="1"/>
        <v>206426.91000000003</v>
      </c>
      <c r="K211" s="41">
        <f t="shared" si="1"/>
        <v>18014.960000000003</v>
      </c>
      <c r="L211" s="41">
        <f t="shared" si="1"/>
        <v>27480578.349999994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4245022.86+102321.8</f>
        <v>4347344.66</v>
      </c>
      <c r="G215" s="18">
        <v>2100220.2999999998</v>
      </c>
      <c r="H215" s="18">
        <f>2381.46+72.52+19484.4+1600.53</f>
        <v>23538.91</v>
      </c>
      <c r="I215" s="18">
        <f>79554.81+393+21790.94+1986.95+6099.99</f>
        <v>109825.69</v>
      </c>
      <c r="J215" s="18">
        <f>-575.88</f>
        <v>-575.88</v>
      </c>
      <c r="K215" s="18">
        <f>3060</f>
        <v>3060</v>
      </c>
      <c r="L215" s="19">
        <f>SUM(F215:K215)</f>
        <v>6583413.6800000006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113740.08+1448114.84+146475.16+52285.03</f>
        <v>1760615.11</v>
      </c>
      <c r="G216" s="18">
        <v>881239.52</v>
      </c>
      <c r="H216" s="18">
        <f>162836.59+4275+8935.36</f>
        <v>176046.95</v>
      </c>
      <c r="I216" s="18">
        <f>8807.42+5771.3+4993.73</f>
        <v>19572.45</v>
      </c>
      <c r="J216" s="18">
        <f>435</f>
        <v>435</v>
      </c>
      <c r="K216" s="18">
        <f>1662.93</f>
        <v>1662.93</v>
      </c>
      <c r="L216" s="19">
        <f>SUM(F216:K216)</f>
        <v>2839571.9600000004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46812.5+729+85881.49+7344+52202.41</f>
        <v>192969.4</v>
      </c>
      <c r="G218" s="18">
        <v>90663.26</v>
      </c>
      <c r="H218" s="18">
        <f>11254</f>
        <v>11254</v>
      </c>
      <c r="I218" s="18">
        <f>1711.57+1500+121.96</f>
        <v>3333.5299999999997</v>
      </c>
      <c r="J218" s="18">
        <f>6934.4</f>
        <v>6934.4</v>
      </c>
      <c r="K218" s="18">
        <f>2322.5</f>
        <v>2322.5</v>
      </c>
      <c r="L218" s="19">
        <f>SUM(F218:K218)</f>
        <v>307477.09000000003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38859.86+224074.36+72846.02+47740+81151.74+129873.45</f>
        <v>594545.42999999993</v>
      </c>
      <c r="G220" s="18">
        <v>287193.21999999997</v>
      </c>
      <c r="H220" s="18">
        <f>21274.39+83128.03</f>
        <v>104402.42</v>
      </c>
      <c r="I220" s="18">
        <f>909.05+631.06+2478.4+529.91</f>
        <v>4548.42</v>
      </c>
      <c r="J220" s="18"/>
      <c r="K220" s="18">
        <f>80</f>
        <v>80</v>
      </c>
      <c r="L220" s="19">
        <f t="shared" ref="L220:L226" si="2">SUM(F220:K220)</f>
        <v>990769.49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12315+160322.01+48546.89</f>
        <v>221183.90000000002</v>
      </c>
      <c r="G221" s="18">
        <f>109558.12+53229.61+1783.8</f>
        <v>164571.52999999997</v>
      </c>
      <c r="H221" s="18">
        <f>688+2410.33</f>
        <v>3098.33</v>
      </c>
      <c r="I221" s="18">
        <f>2597.17+23841.44+543+1795.61</f>
        <v>28777.22</v>
      </c>
      <c r="J221" s="18">
        <f>5530.95</f>
        <v>5530.95</v>
      </c>
      <c r="K221" s="18">
        <f>502.09</f>
        <v>502.09</v>
      </c>
      <c r="L221" s="19">
        <f t="shared" si="2"/>
        <v>423664.02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78551.66</f>
        <v>78551.66</v>
      </c>
      <c r="G222" s="18">
        <v>52283.1</v>
      </c>
      <c r="H222" s="18">
        <f>4762.77+3464.35+1549.61+79955.75</f>
        <v>89732.479999999996</v>
      </c>
      <c r="I222" s="18">
        <f>299+8415.38</f>
        <v>8714.3799999999992</v>
      </c>
      <c r="J222" s="18">
        <f>1260.59</f>
        <v>1260.5899999999999</v>
      </c>
      <c r="K222" s="18">
        <f>1425+4105.12</f>
        <v>5530.12</v>
      </c>
      <c r="L222" s="19">
        <f t="shared" si="2"/>
        <v>236072.33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408597.93+3528.55</f>
        <v>412126.48</v>
      </c>
      <c r="G223" s="18">
        <v>213272.91</v>
      </c>
      <c r="H223" s="18"/>
      <c r="I223" s="18"/>
      <c r="J223" s="18"/>
      <c r="K223" s="18"/>
      <c r="L223" s="19">
        <f t="shared" si="2"/>
        <v>625399.39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126926.76</f>
        <v>126926.76</v>
      </c>
      <c r="G224" s="18">
        <v>64600.31</v>
      </c>
      <c r="H224" s="18">
        <f>13323.03</f>
        <v>13323.03</v>
      </c>
      <c r="I224" s="18"/>
      <c r="J224" s="18"/>
      <c r="K224" s="18"/>
      <c r="L224" s="19">
        <f t="shared" si="2"/>
        <v>204850.1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425983.23+179385.65</f>
        <v>605368.88</v>
      </c>
      <c r="G225" s="18">
        <v>286030.51</v>
      </c>
      <c r="H225" s="18">
        <f>1470.65+4480.86+12021.06+3477.6+42044.45+8429.98+126012.5</f>
        <v>197937.09999999998</v>
      </c>
      <c r="I225" s="18">
        <f>35502.69+3616.17+43998.7+95272.47+6761.51</f>
        <v>185151.54</v>
      </c>
      <c r="J225" s="18">
        <f>10372.56+17208.85</f>
        <v>27581.409999999996</v>
      </c>
      <c r="K225" s="18">
        <f>217.35</f>
        <v>217.35</v>
      </c>
      <c r="L225" s="19">
        <f t="shared" si="2"/>
        <v>1302286.79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12584.11+916.12+781138.11</f>
        <v>794638.34</v>
      </c>
      <c r="I226" s="18"/>
      <c r="J226" s="18"/>
      <c r="K226" s="18"/>
      <c r="L226" s="19">
        <f t="shared" si="2"/>
        <v>794638.34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96670.45</f>
        <v>96670.45</v>
      </c>
      <c r="G227" s="18">
        <v>45630.63</v>
      </c>
      <c r="H227" s="18">
        <f>74604.49</f>
        <v>74604.490000000005</v>
      </c>
      <c r="I227" s="18">
        <f>16219.32</f>
        <v>16219.32</v>
      </c>
      <c r="J227" s="18">
        <f>120017</f>
        <v>120017</v>
      </c>
      <c r="K227" s="18"/>
      <c r="L227" s="19">
        <f>SUM(F227:K227)</f>
        <v>353141.89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8436302.7300000004</v>
      </c>
      <c r="G229" s="41">
        <f>SUM(G215:G228)</f>
        <v>4185705.29</v>
      </c>
      <c r="H229" s="41">
        <f>SUM(H215:H228)</f>
        <v>1488576.05</v>
      </c>
      <c r="I229" s="41">
        <f>SUM(I215:I228)</f>
        <v>376142.55000000005</v>
      </c>
      <c r="J229" s="41">
        <f>SUM(J215:J228)</f>
        <v>161183.47</v>
      </c>
      <c r="K229" s="41">
        <f t="shared" si="3"/>
        <v>13374.99</v>
      </c>
      <c r="L229" s="41">
        <f t="shared" si="3"/>
        <v>14661285.080000002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6532819.9+190252.63</f>
        <v>6723072.5300000003</v>
      </c>
      <c r="G233" s="18">
        <v>3231720.47</v>
      </c>
      <c r="H233" s="18">
        <f>10568.45+2500+757.8+6925.56</f>
        <v>20751.810000000001</v>
      </c>
      <c r="I233" s="18">
        <f>173064.72+418+881.56+70400.36+7018.8+17986.87+0.01</f>
        <v>269770.32</v>
      </c>
      <c r="J233" s="18">
        <f>2593.62+8325.64+10310</f>
        <v>21229.26</v>
      </c>
      <c r="K233" s="18">
        <f>3200</f>
        <v>3200</v>
      </c>
      <c r="L233" s="19">
        <f>SUM(F233:K233)</f>
        <v>10269744.390000001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121284.28+1739371.05+61612.88</f>
        <v>1922268.21</v>
      </c>
      <c r="G234" s="18">
        <v>1105589.3700000001</v>
      </c>
      <c r="H234" s="18">
        <f>1151115.5-12711.77+13724.5+10072.74</f>
        <v>1162200.97</v>
      </c>
      <c r="I234" s="18">
        <f>5851.37+5780.55</f>
        <v>11631.92</v>
      </c>
      <c r="J234" s="18">
        <f>949</f>
        <v>949</v>
      </c>
      <c r="K234" s="18"/>
      <c r="L234" s="19">
        <f>SUM(F234:K234)</f>
        <v>4202639.47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90436.08</f>
        <v>90436.08</v>
      </c>
      <c r="I235" s="18"/>
      <c r="J235" s="18"/>
      <c r="K235" s="18"/>
      <c r="L235" s="19">
        <f>SUM(F235:K235)</f>
        <v>90436.08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80535+467935.26+26602.74+79350.32</f>
        <v>654423.32000000007</v>
      </c>
      <c r="G236" s="18">
        <v>312705.52</v>
      </c>
      <c r="H236" s="18">
        <f>125.9+58418.01+10423.39+66150.85</f>
        <v>135118.15000000002</v>
      </c>
      <c r="I236" s="18">
        <f>5756.88+30608.98+1825+609.82</f>
        <v>38800.68</v>
      </c>
      <c r="J236" s="18">
        <f>7402.35+54115.3+27003.1</f>
        <v>88520.75</v>
      </c>
      <c r="K236" s="18">
        <f>1485+32580.45</f>
        <v>34065.449999999997</v>
      </c>
      <c r="L236" s="19">
        <f>SUM(F236:K236)</f>
        <v>1263633.8700000001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158629.93+542948.5+88684+67797.08+123872.65</f>
        <v>981932.15999999992</v>
      </c>
      <c r="G238" s="18">
        <v>514722.5</v>
      </c>
      <c r="H238" s="18">
        <f>214.47+1692.23+30308.72+143153.1</f>
        <v>175368.52000000002</v>
      </c>
      <c r="I238" s="18">
        <f>6184.67+5150+2460.84+829.43</f>
        <v>14624.94</v>
      </c>
      <c r="J238" s="18"/>
      <c r="K238" s="18">
        <f>1790+2000</f>
        <v>3790</v>
      </c>
      <c r="L238" s="19">
        <f t="shared" ref="L238:L244" si="4">SUM(F238:K238)</f>
        <v>1690438.1199999999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22500+277303.95+75986.43</f>
        <v>375790.38</v>
      </c>
      <c r="G239" s="18">
        <f>197012.84+80002.5+2792.03</f>
        <v>279807.37</v>
      </c>
      <c r="H239" s="18">
        <f>1965+3772.69</f>
        <v>5737.6900000000005</v>
      </c>
      <c r="I239" s="18">
        <f>4330.18+54333.87+2576.25+2810.53</f>
        <v>64050.83</v>
      </c>
      <c r="J239" s="18">
        <f>8657.13</f>
        <v>8657.1299999999992</v>
      </c>
      <c r="K239" s="18">
        <f>785.88</f>
        <v>785.88</v>
      </c>
      <c r="L239" s="19">
        <f t="shared" si="4"/>
        <v>734829.27999999991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122950.42</f>
        <v>122950.42</v>
      </c>
      <c r="G240" s="18">
        <v>81834.41</v>
      </c>
      <c r="H240" s="18">
        <f>160131.68</f>
        <v>160131.68</v>
      </c>
      <c r="I240" s="18">
        <f>13171.89</f>
        <v>13171.89</v>
      </c>
      <c r="J240" s="18">
        <f>1973.1</f>
        <v>1973.1</v>
      </c>
      <c r="K240" s="18">
        <f>6425.4</f>
        <v>6425.4</v>
      </c>
      <c r="L240" s="19">
        <f t="shared" si="4"/>
        <v>386486.9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834162.07+5522.94</f>
        <v>839685.00999999989</v>
      </c>
      <c r="G241" s="18">
        <v>458079.34</v>
      </c>
      <c r="H241" s="18">
        <f>4085+9381.91+2759.69+17351.75</f>
        <v>33578.35</v>
      </c>
      <c r="I241" s="18">
        <f>24.99+1555.04</f>
        <v>1580.03</v>
      </c>
      <c r="J241" s="18"/>
      <c r="K241" s="18">
        <f>4069.1</f>
        <v>4069.1</v>
      </c>
      <c r="L241" s="19">
        <f t="shared" si="4"/>
        <v>1336991.83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198667.97</f>
        <v>198667.97</v>
      </c>
      <c r="G242" s="18">
        <v>101152.33</v>
      </c>
      <c r="H242" s="18">
        <f>20853.44</f>
        <v>20853.439999999999</v>
      </c>
      <c r="I242" s="18"/>
      <c r="J242" s="18"/>
      <c r="K242" s="18"/>
      <c r="L242" s="19">
        <f t="shared" si="4"/>
        <v>320673.74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664676.03+293783.02</f>
        <v>958459.05</v>
      </c>
      <c r="G243" s="18">
        <v>458473.32</v>
      </c>
      <c r="H243" s="18">
        <f>1789.6+595.89+42402.01+23207.94+6436.56+126055.8+16250.21+424244.35</f>
        <v>640982.36</v>
      </c>
      <c r="I243" s="18">
        <f>63218.88+19851.76+96152.24+244206.9+10600.1</f>
        <v>434029.88</v>
      </c>
      <c r="J243" s="18">
        <f>3746.22+13581.3+15046.3</f>
        <v>32373.82</v>
      </c>
      <c r="K243" s="18">
        <f>340.2</f>
        <v>340.2</v>
      </c>
      <c r="L243" s="19">
        <f t="shared" si="4"/>
        <v>2524658.63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76485.83+13810.2+832753.62</f>
        <v>923049.65</v>
      </c>
      <c r="I244" s="18"/>
      <c r="J244" s="18"/>
      <c r="K244" s="18"/>
      <c r="L244" s="19">
        <f t="shared" si="4"/>
        <v>923049.65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151310.28</f>
        <v>151310.28</v>
      </c>
      <c r="G245" s="18">
        <v>71499.47</v>
      </c>
      <c r="H245" s="18">
        <f>116772.25</f>
        <v>116772.25</v>
      </c>
      <c r="I245" s="18">
        <f>25386.76</f>
        <v>25386.76</v>
      </c>
      <c r="J245" s="18">
        <f>122920.9</f>
        <v>122920.9</v>
      </c>
      <c r="K245" s="18"/>
      <c r="L245" s="19">
        <f>SUM(F245:K245)</f>
        <v>487889.66000000003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12928559.330000002</v>
      </c>
      <c r="G247" s="41">
        <f t="shared" si="5"/>
        <v>6615584.0999999996</v>
      </c>
      <c r="H247" s="41">
        <f t="shared" si="5"/>
        <v>3484980.95</v>
      </c>
      <c r="I247" s="41">
        <f t="shared" si="5"/>
        <v>873047.25</v>
      </c>
      <c r="J247" s="41">
        <f t="shared" si="5"/>
        <v>276623.95999999996</v>
      </c>
      <c r="K247" s="41">
        <f t="shared" si="5"/>
        <v>52676.029999999992</v>
      </c>
      <c r="L247" s="41">
        <f t="shared" si="5"/>
        <v>24231471.619999994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27785.599999999999</v>
      </c>
      <c r="G251" s="18">
        <v>13028.38</v>
      </c>
      <c r="H251" s="18">
        <f>5000</f>
        <v>5000</v>
      </c>
      <c r="I251" s="18">
        <f>419.63+893.82</f>
        <v>1313.45</v>
      </c>
      <c r="J251" s="18"/>
      <c r="K251" s="18"/>
      <c r="L251" s="19">
        <f t="shared" si="6"/>
        <v>47127.429999999993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27785.599999999999</v>
      </c>
      <c r="G256" s="41">
        <f t="shared" si="7"/>
        <v>13028.38</v>
      </c>
      <c r="H256" s="41">
        <f t="shared" si="7"/>
        <v>5000</v>
      </c>
      <c r="I256" s="41">
        <f t="shared" si="7"/>
        <v>1313.45</v>
      </c>
      <c r="J256" s="41">
        <f t="shared" si="7"/>
        <v>0</v>
      </c>
      <c r="K256" s="41">
        <f t="shared" si="7"/>
        <v>0</v>
      </c>
      <c r="L256" s="41">
        <f>SUM(F256:K256)</f>
        <v>47127.429999999993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36672812.43</v>
      </c>
      <c r="G257" s="41">
        <f t="shared" si="8"/>
        <v>18879568.59</v>
      </c>
      <c r="H257" s="41">
        <f t="shared" si="8"/>
        <v>8158264.1399999997</v>
      </c>
      <c r="I257" s="41">
        <f t="shared" si="8"/>
        <v>1981517</v>
      </c>
      <c r="J257" s="41">
        <f t="shared" si="8"/>
        <v>644234.34</v>
      </c>
      <c r="K257" s="41">
        <f t="shared" si="8"/>
        <v>84065.98</v>
      </c>
      <c r="L257" s="41">
        <f t="shared" si="8"/>
        <v>66420462.479999982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2115000</v>
      </c>
      <c r="L260" s="19">
        <f>SUM(F260:K260)</f>
        <v>2115000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798507.87</v>
      </c>
      <c r="L261" s="19">
        <f>SUM(F261:K261)</f>
        <v>798507.87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52273.74</v>
      </c>
      <c r="L263" s="19">
        <f>SUM(F263:K263)</f>
        <v>52273.74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500000</v>
      </c>
      <c r="L266" s="19">
        <f t="shared" si="9"/>
        <v>500000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12711.77</v>
      </c>
      <c r="L268" s="19">
        <f t="shared" si="9"/>
        <v>12711.77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3478493.3800000004</v>
      </c>
      <c r="L270" s="41">
        <f t="shared" si="9"/>
        <v>3478493.3800000004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36672812.43</v>
      </c>
      <c r="G271" s="42">
        <f t="shared" si="11"/>
        <v>18879568.59</v>
      </c>
      <c r="H271" s="42">
        <f t="shared" si="11"/>
        <v>8158264.1399999997</v>
      </c>
      <c r="I271" s="42">
        <f t="shared" si="11"/>
        <v>1981517</v>
      </c>
      <c r="J271" s="42">
        <f t="shared" si="11"/>
        <v>644234.34</v>
      </c>
      <c r="K271" s="42">
        <f t="shared" si="11"/>
        <v>3562559.3600000003</v>
      </c>
      <c r="L271" s="42">
        <f t="shared" si="11"/>
        <v>69898955.859999985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306514.99</f>
        <v>306514.99</v>
      </c>
      <c r="G276" s="18"/>
      <c r="H276" s="18"/>
      <c r="I276" s="18"/>
      <c r="J276" s="18"/>
      <c r="K276" s="18"/>
      <c r="L276" s="19">
        <f>SUM(F276:K276)</f>
        <v>306514.99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315756.56</f>
        <v>315756.56</v>
      </c>
      <c r="G277" s="18">
        <f>1515+2615.74</f>
        <v>4130.74</v>
      </c>
      <c r="H277" s="18"/>
      <c r="I277" s="18">
        <f>1813.18</f>
        <v>1813.18</v>
      </c>
      <c r="J277" s="18"/>
      <c r="K277" s="18"/>
      <c r="L277" s="19">
        <f>SUM(F277:K277)</f>
        <v>321700.47999999998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16685.52+15414.32+32548.37+67021.55</f>
        <v>131669.76000000001</v>
      </c>
      <c r="G281" s="18"/>
      <c r="H281" s="18"/>
      <c r="I281" s="18"/>
      <c r="J281" s="18"/>
      <c r="K281" s="18"/>
      <c r="L281" s="19">
        <f t="shared" ref="L281:L287" si="12">SUM(F281:K281)</f>
        <v>131669.76000000001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753941.31</v>
      </c>
      <c r="G290" s="42">
        <f t="shared" si="13"/>
        <v>4130.74</v>
      </c>
      <c r="H290" s="42">
        <f t="shared" si="13"/>
        <v>0</v>
      </c>
      <c r="I290" s="42">
        <f t="shared" si="13"/>
        <v>1813.18</v>
      </c>
      <c r="J290" s="42">
        <f t="shared" si="13"/>
        <v>0</v>
      </c>
      <c r="K290" s="42">
        <f t="shared" si="13"/>
        <v>0</v>
      </c>
      <c r="L290" s="41">
        <f t="shared" si="13"/>
        <v>759885.23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79381.33</f>
        <v>79381.33</v>
      </c>
      <c r="G296" s="18"/>
      <c r="H296" s="18"/>
      <c r="I296" s="18"/>
      <c r="J296" s="18"/>
      <c r="K296" s="18"/>
      <c r="L296" s="19">
        <f>SUM(F296:K296)</f>
        <v>79381.33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79381.33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79381.33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f>17.5+727.16</f>
        <v>744.66</v>
      </c>
      <c r="J314" s="18">
        <f>8482.11</f>
        <v>8482.11</v>
      </c>
      <c r="K314" s="18"/>
      <c r="L314" s="19">
        <f>SUM(F314:K314)</f>
        <v>9226.77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399299.9</f>
        <v>399299.9</v>
      </c>
      <c r="G315" s="18"/>
      <c r="H315" s="18"/>
      <c r="I315" s="18"/>
      <c r="J315" s="18"/>
      <c r="K315" s="18"/>
      <c r="L315" s="19">
        <f>SUM(F315:K315)</f>
        <v>399299.9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84143.02</f>
        <v>84143.02</v>
      </c>
      <c r="G319" s="18"/>
      <c r="H319" s="18"/>
      <c r="I319" s="18"/>
      <c r="J319" s="18"/>
      <c r="K319" s="18"/>
      <c r="L319" s="19">
        <f t="shared" ref="L319:L325" si="16">SUM(F319:K319)</f>
        <v>84143.02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>
        <f>1761.92+4972.73</f>
        <v>6734.65</v>
      </c>
      <c r="J320" s="18"/>
      <c r="K320" s="18"/>
      <c r="L320" s="19">
        <f t="shared" si="16"/>
        <v>6734.65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483442.92000000004</v>
      </c>
      <c r="G328" s="42">
        <f t="shared" si="17"/>
        <v>0</v>
      </c>
      <c r="H328" s="42">
        <f t="shared" si="17"/>
        <v>0</v>
      </c>
      <c r="I328" s="42">
        <f t="shared" si="17"/>
        <v>7479.3099999999995</v>
      </c>
      <c r="J328" s="42">
        <f t="shared" si="17"/>
        <v>8482.11</v>
      </c>
      <c r="K328" s="42">
        <f t="shared" si="17"/>
        <v>0</v>
      </c>
      <c r="L328" s="41">
        <f t="shared" si="17"/>
        <v>499404.34000000008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18304</v>
      </c>
      <c r="G333" s="18"/>
      <c r="H333" s="18"/>
      <c r="I333" s="18">
        <f>902.64+1072.76+12500</f>
        <v>14475.4</v>
      </c>
      <c r="J333" s="18">
        <f>9807.06</f>
        <v>9807.06</v>
      </c>
      <c r="K333" s="18"/>
      <c r="L333" s="19">
        <f t="shared" si="18"/>
        <v>42586.46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18304</v>
      </c>
      <c r="G337" s="41">
        <f t="shared" si="19"/>
        <v>0</v>
      </c>
      <c r="H337" s="41">
        <f t="shared" si="19"/>
        <v>0</v>
      </c>
      <c r="I337" s="41">
        <f t="shared" si="19"/>
        <v>14475.4</v>
      </c>
      <c r="J337" s="41">
        <f t="shared" si="19"/>
        <v>9807.06</v>
      </c>
      <c r="K337" s="41">
        <f t="shared" si="19"/>
        <v>0</v>
      </c>
      <c r="L337" s="41">
        <f t="shared" si="18"/>
        <v>42586.46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1335069.56</v>
      </c>
      <c r="G338" s="41">
        <f t="shared" si="20"/>
        <v>4130.74</v>
      </c>
      <c r="H338" s="41">
        <f t="shared" si="20"/>
        <v>0</v>
      </c>
      <c r="I338" s="41">
        <f t="shared" si="20"/>
        <v>23767.89</v>
      </c>
      <c r="J338" s="41">
        <f t="shared" si="20"/>
        <v>18289.169999999998</v>
      </c>
      <c r="K338" s="41">
        <f t="shared" si="20"/>
        <v>0</v>
      </c>
      <c r="L338" s="41">
        <f t="shared" si="20"/>
        <v>1381257.3599999999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1335069.56</v>
      </c>
      <c r="G352" s="41">
        <f>G338</f>
        <v>4130.74</v>
      </c>
      <c r="H352" s="41">
        <f>H338</f>
        <v>0</v>
      </c>
      <c r="I352" s="41">
        <f>I338</f>
        <v>23767.89</v>
      </c>
      <c r="J352" s="41">
        <f>J338</f>
        <v>18289.169999999998</v>
      </c>
      <c r="K352" s="47">
        <f>K338+K351</f>
        <v>0</v>
      </c>
      <c r="L352" s="41">
        <f>L338+L351</f>
        <v>1381257.3599999999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149804.26+28203.08</f>
        <v>178007.34000000003</v>
      </c>
      <c r="G358" s="18">
        <v>26405.5</v>
      </c>
      <c r="H358" s="18">
        <v>8064.72</v>
      </c>
      <c r="I358" s="18">
        <v>213892.71</v>
      </c>
      <c r="J358" s="18"/>
      <c r="K358" s="18">
        <f>368.74+21873</f>
        <v>22241.74</v>
      </c>
      <c r="L358" s="13">
        <f>SUM(F358:K358)</f>
        <v>448612.01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118974.72+15821.24</f>
        <v>134795.96</v>
      </c>
      <c r="G359" s="18">
        <v>20192.45</v>
      </c>
      <c r="H359" s="18">
        <v>6396.16</v>
      </c>
      <c r="I359" s="18">
        <v>169639.05</v>
      </c>
      <c r="J359" s="18"/>
      <c r="K359" s="18">
        <v>292.45</v>
      </c>
      <c r="L359" s="19">
        <f>SUM(F359:K359)</f>
        <v>331316.07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129062.4+24763.67+55999.89</f>
        <v>209825.96000000002</v>
      </c>
      <c r="G360" s="18">
        <v>31065.3</v>
      </c>
      <c r="H360" s="18">
        <v>13348.5</v>
      </c>
      <c r="I360" s="18">
        <v>354029.32</v>
      </c>
      <c r="J360" s="18">
        <v>39842</v>
      </c>
      <c r="K360" s="18">
        <v>610.30999999999995</v>
      </c>
      <c r="L360" s="19">
        <f>SUM(F360:K360)</f>
        <v>648721.39000000013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522629.26000000007</v>
      </c>
      <c r="G362" s="47">
        <f t="shared" si="22"/>
        <v>77663.25</v>
      </c>
      <c r="H362" s="47">
        <f t="shared" si="22"/>
        <v>27809.38</v>
      </c>
      <c r="I362" s="47">
        <f t="shared" si="22"/>
        <v>737561.08000000007</v>
      </c>
      <c r="J362" s="47">
        <f t="shared" si="22"/>
        <v>39842</v>
      </c>
      <c r="K362" s="47">
        <f t="shared" si="22"/>
        <v>23144.500000000004</v>
      </c>
      <c r="L362" s="47">
        <f t="shared" si="22"/>
        <v>1428649.4700000002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191560.76</v>
      </c>
      <c r="G367" s="18">
        <v>151927.5</v>
      </c>
      <c r="H367" s="18">
        <v>317066.09999999998</v>
      </c>
      <c r="I367" s="56">
        <f>SUM(F367:H367)</f>
        <v>660554.36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22331.95</v>
      </c>
      <c r="G368" s="63">
        <v>17711.55</v>
      </c>
      <c r="H368" s="63">
        <v>36963.22</v>
      </c>
      <c r="I368" s="56">
        <f>SUM(F368:H368)</f>
        <v>77006.720000000001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213892.71000000002</v>
      </c>
      <c r="G369" s="47">
        <f>SUM(G367:G368)</f>
        <v>169639.05</v>
      </c>
      <c r="H369" s="47">
        <f>SUM(H367:H368)</f>
        <v>354029.31999999995</v>
      </c>
      <c r="I369" s="47">
        <f>SUM(I367:I368)</f>
        <v>737561.08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1206902.05</v>
      </c>
      <c r="I379" s="18"/>
      <c r="J379" s="18"/>
      <c r="K379" s="18"/>
      <c r="L379" s="13">
        <f t="shared" si="23"/>
        <v>1206902.05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1206902.05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1206902.05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3.06</v>
      </c>
      <c r="I388" s="18"/>
      <c r="J388" s="24" t="s">
        <v>289</v>
      </c>
      <c r="K388" s="24" t="s">
        <v>289</v>
      </c>
      <c r="L388" s="56">
        <f t="shared" si="25"/>
        <v>3.06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100000</v>
      </c>
      <c r="H392" s="18">
        <v>7.91</v>
      </c>
      <c r="I392" s="18"/>
      <c r="J392" s="24" t="s">
        <v>289</v>
      </c>
      <c r="K392" s="24" t="s">
        <v>289</v>
      </c>
      <c r="L392" s="56">
        <f t="shared" si="25"/>
        <v>100007.91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10.97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100010.97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400000</v>
      </c>
      <c r="H396" s="18">
        <v>35.770000000000003</v>
      </c>
      <c r="I396" s="18"/>
      <c r="J396" s="24" t="s">
        <v>289</v>
      </c>
      <c r="K396" s="24" t="s">
        <v>289</v>
      </c>
      <c r="L396" s="56">
        <f t="shared" si="26"/>
        <v>400035.77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10.5</v>
      </c>
      <c r="I397" s="18"/>
      <c r="J397" s="24" t="s">
        <v>289</v>
      </c>
      <c r="K397" s="24" t="s">
        <v>289</v>
      </c>
      <c r="L397" s="56">
        <f t="shared" si="26"/>
        <v>10.5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9.44</v>
      </c>
      <c r="I400" s="18"/>
      <c r="J400" s="24" t="s">
        <v>289</v>
      </c>
      <c r="K400" s="24" t="s">
        <v>289</v>
      </c>
      <c r="L400" s="56">
        <f t="shared" si="26"/>
        <v>9.44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400000</v>
      </c>
      <c r="H401" s="47">
        <f>SUM(H395:H400)</f>
        <v>55.71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400055.71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500000</v>
      </c>
      <c r="H408" s="47">
        <f>H393+H401+H407</f>
        <v>66.680000000000007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500066.68000000005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148703.5</v>
      </c>
      <c r="L418" s="56">
        <f t="shared" si="27"/>
        <v>148703.5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148703.5</v>
      </c>
      <c r="L419" s="47">
        <f t="shared" si="28"/>
        <v>148703.5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471949.62</v>
      </c>
      <c r="L422" s="56">
        <f t="shared" si="29"/>
        <v>471949.62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117000</v>
      </c>
      <c r="L426" s="56">
        <f t="shared" si="29"/>
        <v>117000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588949.62</v>
      </c>
      <c r="L427" s="47">
        <f t="shared" si="30"/>
        <v>588949.62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737653.12</v>
      </c>
      <c r="L434" s="47">
        <f t="shared" si="32"/>
        <v>737653.12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44955.38</v>
      </c>
      <c r="G439" s="18">
        <v>178911.12</v>
      </c>
      <c r="H439" s="18"/>
      <c r="I439" s="56">
        <f t="shared" ref="I439:I445" si="33">SUM(F439:H439)</f>
        <v>223866.5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44955.38</v>
      </c>
      <c r="G446" s="13">
        <f>SUM(G439:G445)</f>
        <v>178911.12</v>
      </c>
      <c r="H446" s="13">
        <f>SUM(H439:H445)</f>
        <v>0</v>
      </c>
      <c r="I446" s="13">
        <f>SUM(I439:I445)</f>
        <v>223866.5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31496</v>
      </c>
      <c r="H448" s="18"/>
      <c r="I448" s="56">
        <f>SUM(F448:H448)</f>
        <v>31496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31496</v>
      </c>
      <c r="H452" s="72">
        <f>SUM(H448:H451)</f>
        <v>0</v>
      </c>
      <c r="I452" s="72">
        <f>SUM(I448:I451)</f>
        <v>31496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44955.38</v>
      </c>
      <c r="G459" s="18">
        <v>147415.12</v>
      </c>
      <c r="H459" s="18"/>
      <c r="I459" s="56">
        <f t="shared" si="34"/>
        <v>192370.5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44955.38</v>
      </c>
      <c r="G460" s="83">
        <f>SUM(G454:G459)</f>
        <v>147415.12</v>
      </c>
      <c r="H460" s="83">
        <f>SUM(H454:H459)</f>
        <v>0</v>
      </c>
      <c r="I460" s="83">
        <f>SUM(I454:I459)</f>
        <v>192370.5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44955.38</v>
      </c>
      <c r="G461" s="42">
        <f>G452+G460</f>
        <v>178911.12</v>
      </c>
      <c r="H461" s="42">
        <f>H452+H460</f>
        <v>0</v>
      </c>
      <c r="I461" s="42">
        <f>I452+I460</f>
        <v>223866.5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2178430.2400000002</v>
      </c>
      <c r="G465" s="18">
        <v>29754.39</v>
      </c>
      <c r="H465" s="18">
        <v>75412.710000000006</v>
      </c>
      <c r="I465" s="18">
        <v>2055061.63</v>
      </c>
      <c r="J465" s="18">
        <v>429956.94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68335578.450000003</v>
      </c>
      <c r="G468" s="18">
        <v>1466152.04</v>
      </c>
      <c r="H468" s="18">
        <v>1382609.76</v>
      </c>
      <c r="I468" s="18">
        <v>0</v>
      </c>
      <c r="J468" s="18">
        <v>500066.68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68335578.450000003</v>
      </c>
      <c r="G470" s="53">
        <f>SUM(G468:G469)</f>
        <v>1466152.04</v>
      </c>
      <c r="H470" s="53">
        <f>SUM(H468:H469)</f>
        <v>1382609.76</v>
      </c>
      <c r="I470" s="53">
        <f>SUM(I468:I469)</f>
        <v>0</v>
      </c>
      <c r="J470" s="53">
        <f>SUM(J468:J469)</f>
        <v>500066.68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69898955.859999999</v>
      </c>
      <c r="G472" s="18">
        <v>1428649.47</v>
      </c>
      <c r="H472" s="18">
        <v>1381257.36</v>
      </c>
      <c r="I472" s="18">
        <v>1206902.05</v>
      </c>
      <c r="J472" s="18">
        <v>737653.12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v>60171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69898955.859999999</v>
      </c>
      <c r="G474" s="53">
        <f>SUM(G472:G473)</f>
        <v>1428649.47</v>
      </c>
      <c r="H474" s="53">
        <f>SUM(H472:H473)</f>
        <v>1441428.36</v>
      </c>
      <c r="I474" s="53">
        <f>SUM(I472:I473)</f>
        <v>1206902.05</v>
      </c>
      <c r="J474" s="53">
        <f>SUM(J472:J473)</f>
        <v>737653.12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615052.82999999821</v>
      </c>
      <c r="G476" s="53">
        <f>(G465+G470)- G474</f>
        <v>67256.959999999963</v>
      </c>
      <c r="H476" s="53">
        <f>(H465+H470)- H474</f>
        <v>16594.10999999987</v>
      </c>
      <c r="I476" s="53">
        <f>(I465+I470)- I474</f>
        <v>848159.57999999984</v>
      </c>
      <c r="J476" s="53">
        <f>(J465+J470)- J474</f>
        <v>192370.5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917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13</v>
      </c>
      <c r="H490" s="154">
        <v>20</v>
      </c>
      <c r="I490" s="154">
        <v>12</v>
      </c>
      <c r="J490" s="154">
        <v>20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>
        <f>7/8</f>
        <v>0.875</v>
      </c>
      <c r="I491" s="154">
        <f>5/14</f>
        <v>0.35714285714285715</v>
      </c>
      <c r="J491" s="154">
        <f>7/14</f>
        <v>0.5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>
        <f>7/28</f>
        <v>0.25</v>
      </c>
      <c r="I492" s="154">
        <f>8/26</f>
        <v>0.30769230769230771</v>
      </c>
      <c r="J492" s="154">
        <f>7/24</f>
        <v>0.29166666666666669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12030000</v>
      </c>
      <c r="G493" s="18">
        <v>6935000</v>
      </c>
      <c r="H493" s="18">
        <v>5100000</v>
      </c>
      <c r="I493" s="18">
        <v>2955000</v>
      </c>
      <c r="J493" s="18">
        <v>3895000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4.57</v>
      </c>
      <c r="G494" s="18">
        <v>3.25</v>
      </c>
      <c r="H494" s="18">
        <v>4.09</v>
      </c>
      <c r="I494" s="18">
        <v>1.94</v>
      </c>
      <c r="J494" s="18">
        <v>2.14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5330000</v>
      </c>
      <c r="G495" s="18">
        <v>975000</v>
      </c>
      <c r="H495" s="18">
        <v>3570000</v>
      </c>
      <c r="I495" s="18">
        <v>3180000</v>
      </c>
      <c r="J495" s="18">
        <v>3895000</v>
      </c>
      <c r="K495" s="53">
        <f>SUM(F495:J495)</f>
        <v>16950000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 t="s">
        <v>916</v>
      </c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670000</v>
      </c>
      <c r="G497" s="18">
        <v>490000</v>
      </c>
      <c r="H497" s="18">
        <v>255000</v>
      </c>
      <c r="I497" s="18">
        <v>310000</v>
      </c>
      <c r="J497" s="18">
        <v>390000</v>
      </c>
      <c r="K497" s="53">
        <f t="shared" si="35"/>
        <v>2115000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4660000</v>
      </c>
      <c r="G498" s="204">
        <v>485000</v>
      </c>
      <c r="H498" s="204">
        <v>3315000</v>
      </c>
      <c r="I498" s="204">
        <v>2870000</v>
      </c>
      <c r="J498" s="204">
        <v>3505000</v>
      </c>
      <c r="K498" s="205">
        <f t="shared" si="35"/>
        <v>14835000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800442.5</v>
      </c>
      <c r="G499" s="18">
        <v>9700</v>
      </c>
      <c r="H499" s="18">
        <v>885965.63</v>
      </c>
      <c r="I499" s="18">
        <v>311490.7</v>
      </c>
      <c r="J499" s="18">
        <v>472575</v>
      </c>
      <c r="K499" s="53">
        <f t="shared" si="35"/>
        <v>2480173.83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5460442.5</v>
      </c>
      <c r="G500" s="42">
        <f>SUM(G498:G499)</f>
        <v>494700</v>
      </c>
      <c r="H500" s="42">
        <f>SUM(H498:H499)</f>
        <v>4200965.63</v>
      </c>
      <c r="I500" s="42">
        <f>SUM(I498:I499)</f>
        <v>3181490.7</v>
      </c>
      <c r="J500" s="42">
        <f>SUM(J498:J499)</f>
        <v>3977575</v>
      </c>
      <c r="K500" s="42">
        <f t="shared" si="35"/>
        <v>17315173.829999998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670000</v>
      </c>
      <c r="G501" s="204">
        <v>485000</v>
      </c>
      <c r="H501" s="204">
        <v>255000</v>
      </c>
      <c r="I501" s="204">
        <v>305000</v>
      </c>
      <c r="J501" s="204">
        <v>390000</v>
      </c>
      <c r="K501" s="205">
        <f t="shared" si="35"/>
        <v>2105000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209590</v>
      </c>
      <c r="G502" s="18">
        <v>9700</v>
      </c>
      <c r="H502" s="18">
        <v>130846.88</v>
      </c>
      <c r="I502" s="18">
        <v>58443.76</v>
      </c>
      <c r="J502" s="18">
        <v>99000</v>
      </c>
      <c r="K502" s="53">
        <f t="shared" si="35"/>
        <v>507580.64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879590</v>
      </c>
      <c r="G503" s="42">
        <f>SUM(G501:G502)</f>
        <v>494700</v>
      </c>
      <c r="H503" s="42">
        <f>SUM(H501:H502)</f>
        <v>385846.88</v>
      </c>
      <c r="I503" s="42">
        <f>SUM(I501:I502)</f>
        <v>363443.76</v>
      </c>
      <c r="J503" s="42">
        <f>SUM(J501:J502)</f>
        <v>489000</v>
      </c>
      <c r="K503" s="42">
        <f t="shared" si="35"/>
        <v>2612580.6399999997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3011231</v>
      </c>
      <c r="G507" s="144"/>
      <c r="H507" s="144"/>
      <c r="I507" s="144">
        <v>3814589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2025585.29+1474872.76+29317.16+129921.25</f>
        <v>3659696.46</v>
      </c>
      <c r="G521" s="18">
        <f>F521*0.481</f>
        <v>1760313.9972599999</v>
      </c>
      <c r="H521" s="18">
        <f>461887.73+8279.47</f>
        <v>470167.19999999995</v>
      </c>
      <c r="I521" s="18">
        <f>6154.81+15636.34+7008.35</f>
        <v>28799.5</v>
      </c>
      <c r="J521" s="18"/>
      <c r="K521" s="18">
        <f>1000</f>
        <v>1000</v>
      </c>
      <c r="L521" s="88">
        <f>SUM(F521:K521)</f>
        <v>5919977.1572599998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1052280.53+475215.64+66342.47</f>
        <v>1593838.64</v>
      </c>
      <c r="G522" s="18">
        <f t="shared" ref="G522:G523" si="36">F522*0.481</f>
        <v>766636.38583999989</v>
      </c>
      <c r="H522" s="18">
        <f>162836.59+4275+4644.58</f>
        <v>171756.16999999998</v>
      </c>
      <c r="I522" s="18">
        <f>8807.42+3779.8</f>
        <v>12587.220000000001</v>
      </c>
      <c r="J522" s="18">
        <f>435</f>
        <v>435</v>
      </c>
      <c r="K522" s="18"/>
      <c r="L522" s="88">
        <f>SUM(F522:K522)</f>
        <v>2545253.4158399999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1672412.77+466258.18+114632.34</f>
        <v>2253303.29</v>
      </c>
      <c r="G523" s="18">
        <f t="shared" si="36"/>
        <v>1083838.88249</v>
      </c>
      <c r="H523" s="18">
        <f>1151115.5-12711.77+13724.5+7269.78</f>
        <v>1159398.01</v>
      </c>
      <c r="I523" s="18">
        <f>5851.37+6335.13</f>
        <v>12186.5</v>
      </c>
      <c r="J523" s="18">
        <f>949</f>
        <v>949</v>
      </c>
      <c r="K523" s="18"/>
      <c r="L523" s="88">
        <f>SUM(F523:K523)</f>
        <v>4509675.6824899996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7506838.3899999997</v>
      </c>
      <c r="G524" s="108">
        <f t="shared" ref="G524:L524" si="37">SUM(G521:G523)</f>
        <v>3610789.26559</v>
      </c>
      <c r="H524" s="108">
        <f t="shared" si="37"/>
        <v>1801321.38</v>
      </c>
      <c r="I524" s="108">
        <f t="shared" si="37"/>
        <v>53573.22</v>
      </c>
      <c r="J524" s="108">
        <f t="shared" si="37"/>
        <v>1384</v>
      </c>
      <c r="K524" s="108">
        <f t="shared" si="37"/>
        <v>1000</v>
      </c>
      <c r="L524" s="89">
        <f t="shared" si="37"/>
        <v>12974906.255589999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16685.52+660335.67+32548.37+1382.14+763189.53</f>
        <v>1474141.23</v>
      </c>
      <c r="G526" s="18">
        <f>F526*0.481</f>
        <v>709061.93163000001</v>
      </c>
      <c r="H526" s="18">
        <f>130996.43</f>
        <v>130996.43</v>
      </c>
      <c r="I526" s="18">
        <f>765.32</f>
        <v>765.32</v>
      </c>
      <c r="J526" s="18"/>
      <c r="K526" s="18"/>
      <c r="L526" s="88">
        <f>SUM(F526:K526)</f>
        <v>2314964.91163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47740+81151.74+93040.68</f>
        <v>221932.41999999998</v>
      </c>
      <c r="G527" s="18">
        <f t="shared" ref="G527:G528" si="38">F527*0.481</f>
        <v>106749.49401999998</v>
      </c>
      <c r="H527" s="18">
        <f>82591.81</f>
        <v>82591.81</v>
      </c>
      <c r="I527" s="18">
        <f>429.32</f>
        <v>429.32</v>
      </c>
      <c r="J527" s="18"/>
      <c r="K527" s="18"/>
      <c r="L527" s="88">
        <f>SUM(F527:K527)</f>
        <v>411703.04401999997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151940.1+74270.07</f>
        <v>226210.17</v>
      </c>
      <c r="G528" s="18">
        <f t="shared" si="38"/>
        <v>108807.09177</v>
      </c>
      <c r="H528" s="18">
        <f>142313.8</f>
        <v>142313.79999999999</v>
      </c>
      <c r="I528" s="18">
        <f>671.99</f>
        <v>671.99</v>
      </c>
      <c r="J528" s="18"/>
      <c r="K528" s="18"/>
      <c r="L528" s="88">
        <f>SUM(F528:K528)</f>
        <v>478003.05176999996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1922283.8199999998</v>
      </c>
      <c r="G529" s="89">
        <f t="shared" ref="G529:L529" si="39">SUM(G526:G528)</f>
        <v>924618.51741999993</v>
      </c>
      <c r="H529" s="89">
        <f t="shared" si="39"/>
        <v>355902.04</v>
      </c>
      <c r="I529" s="89">
        <f t="shared" si="39"/>
        <v>1866.63</v>
      </c>
      <c r="J529" s="89">
        <f t="shared" si="39"/>
        <v>0</v>
      </c>
      <c r="K529" s="89">
        <f t="shared" si="39"/>
        <v>0</v>
      </c>
      <c r="L529" s="89">
        <f t="shared" si="39"/>
        <v>3204671.0074199997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147372.01+104000.73+61445.22</f>
        <v>312817.95999999996</v>
      </c>
      <c r="G531" s="18">
        <f>F531*0.481</f>
        <v>150465.43875999999</v>
      </c>
      <c r="H531" s="18">
        <f>2941.38</f>
        <v>2941.38</v>
      </c>
      <c r="I531" s="18">
        <f>179.31</f>
        <v>179.31</v>
      </c>
      <c r="J531" s="18"/>
      <c r="K531" s="18"/>
      <c r="L531" s="88">
        <f>SUM(F531:K531)</f>
        <v>466404.08875999996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85446.09+28293.99+34469.27</f>
        <v>148209.35</v>
      </c>
      <c r="G532" s="18">
        <f t="shared" ref="G532:G533" si="40">F532*0.481</f>
        <v>71288.697350000002</v>
      </c>
      <c r="H532" s="18">
        <f>1650.04</f>
        <v>1650.04</v>
      </c>
      <c r="I532" s="18">
        <f>100.59</f>
        <v>100.59</v>
      </c>
      <c r="J532" s="18"/>
      <c r="K532" s="18"/>
      <c r="L532" s="88">
        <f>SUM(F532:K532)</f>
        <v>221248.67735000001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93519.09+27765.19+53951.9</f>
        <v>175236.18</v>
      </c>
      <c r="G533" s="18">
        <f t="shared" si="40"/>
        <v>84288.602579999992</v>
      </c>
      <c r="H533" s="18">
        <f>2582.68</f>
        <v>2582.6799999999998</v>
      </c>
      <c r="I533" s="18">
        <f>157.44</f>
        <v>157.44</v>
      </c>
      <c r="J533" s="18"/>
      <c r="K533" s="18"/>
      <c r="L533" s="88">
        <f>SUM(F533:K533)</f>
        <v>262264.90257999999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636263.49</v>
      </c>
      <c r="G534" s="89">
        <f t="shared" ref="G534:L534" si="41">SUM(G531:G533)</f>
        <v>306042.73868999997</v>
      </c>
      <c r="H534" s="89">
        <f t="shared" si="41"/>
        <v>7174.1</v>
      </c>
      <c r="I534" s="89">
        <f t="shared" si="41"/>
        <v>437.34</v>
      </c>
      <c r="J534" s="89">
        <f t="shared" si="41"/>
        <v>0</v>
      </c>
      <c r="K534" s="89">
        <f t="shared" si="41"/>
        <v>0</v>
      </c>
      <c r="L534" s="89">
        <f t="shared" si="41"/>
        <v>949917.66868999996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3192.26</f>
        <v>3192.26</v>
      </c>
      <c r="I536" s="18"/>
      <c r="J536" s="18"/>
      <c r="K536" s="18"/>
      <c r="L536" s="88">
        <f>SUM(F536:K536)</f>
        <v>3192.26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1790.78</f>
        <v>1790.78</v>
      </c>
      <c r="I537" s="18"/>
      <c r="J537" s="18"/>
      <c r="K537" s="18"/>
      <c r="L537" s="88">
        <f>SUM(F537:K537)</f>
        <v>1790.78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2802.96</f>
        <v>2802.96</v>
      </c>
      <c r="I538" s="18"/>
      <c r="J538" s="18"/>
      <c r="K538" s="18"/>
      <c r="L538" s="88">
        <f>SUM(F538:K538)</f>
        <v>2802.96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7786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7786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774232.7</f>
        <v>774232.7</v>
      </c>
      <c r="I541" s="18"/>
      <c r="J541" s="18"/>
      <c r="K541" s="18"/>
      <c r="L541" s="88">
        <f>SUM(F541:K541)</f>
        <v>774232.7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103231.03</f>
        <v>103231.03</v>
      </c>
      <c r="I542" s="18"/>
      <c r="J542" s="18"/>
      <c r="K542" s="18"/>
      <c r="L542" s="88">
        <f>SUM(F542:K542)</f>
        <v>103231.03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154846.54</f>
        <v>154846.54</v>
      </c>
      <c r="I543" s="18"/>
      <c r="J543" s="18"/>
      <c r="K543" s="18"/>
      <c r="L543" s="88">
        <f>SUM(F543:K543)</f>
        <v>154846.54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1032310.27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1032310.27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10065385.699999999</v>
      </c>
      <c r="G545" s="89">
        <f t="shared" ref="G545:L545" si="44">G524+G529+G534+G539+G544</f>
        <v>4841450.5217000004</v>
      </c>
      <c r="H545" s="89">
        <f t="shared" si="44"/>
        <v>3204493.79</v>
      </c>
      <c r="I545" s="89">
        <f t="shared" si="44"/>
        <v>55877.189999999995</v>
      </c>
      <c r="J545" s="89">
        <f t="shared" si="44"/>
        <v>1384</v>
      </c>
      <c r="K545" s="89">
        <f t="shared" si="44"/>
        <v>1000</v>
      </c>
      <c r="L545" s="89">
        <f t="shared" si="44"/>
        <v>18169591.201699998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5919977.1572599998</v>
      </c>
      <c r="G549" s="87">
        <f>L526</f>
        <v>2314964.91163</v>
      </c>
      <c r="H549" s="87">
        <f>L531</f>
        <v>466404.08875999996</v>
      </c>
      <c r="I549" s="87">
        <f>L536</f>
        <v>3192.26</v>
      </c>
      <c r="J549" s="87">
        <f>L541</f>
        <v>774232.7</v>
      </c>
      <c r="K549" s="87">
        <f>SUM(F549:J549)</f>
        <v>9478771.1176499985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2545253.4158399999</v>
      </c>
      <c r="G550" s="87">
        <f>L527</f>
        <v>411703.04401999997</v>
      </c>
      <c r="H550" s="87">
        <f>L532</f>
        <v>221248.67735000001</v>
      </c>
      <c r="I550" s="87">
        <f>L537</f>
        <v>1790.78</v>
      </c>
      <c r="J550" s="87">
        <f>L542</f>
        <v>103231.03</v>
      </c>
      <c r="K550" s="87">
        <f>SUM(F550:J550)</f>
        <v>3283226.9472099994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4509675.6824899996</v>
      </c>
      <c r="G551" s="87">
        <f>L528</f>
        <v>478003.05176999996</v>
      </c>
      <c r="H551" s="87">
        <f>L533</f>
        <v>262264.90257999999</v>
      </c>
      <c r="I551" s="87">
        <f>L538</f>
        <v>2802.96</v>
      </c>
      <c r="J551" s="87">
        <f>L543</f>
        <v>154846.54</v>
      </c>
      <c r="K551" s="87">
        <f>SUM(F551:J551)</f>
        <v>5407593.1368399989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12974906.255589999</v>
      </c>
      <c r="G552" s="89">
        <f t="shared" si="45"/>
        <v>3204671.0074199997</v>
      </c>
      <c r="H552" s="89">
        <f t="shared" si="45"/>
        <v>949917.66868999996</v>
      </c>
      <c r="I552" s="89">
        <f t="shared" si="45"/>
        <v>7786</v>
      </c>
      <c r="J552" s="89">
        <f t="shared" si="45"/>
        <v>1032310.27</v>
      </c>
      <c r="K552" s="89">
        <f t="shared" si="45"/>
        <v>18169591.201699995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12165.58</v>
      </c>
      <c r="G557" s="18">
        <f>F557*0.481</f>
        <v>5851.6439799999998</v>
      </c>
      <c r="H557" s="18"/>
      <c r="I557" s="18">
        <v>55.23</v>
      </c>
      <c r="J557" s="18"/>
      <c r="K557" s="18"/>
      <c r="L557" s="88">
        <f>SUM(F557:K557)</f>
        <v>18072.453979999998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12165.58</v>
      </c>
      <c r="G558" s="18">
        <f>F558*0.481</f>
        <v>5851.6439799999998</v>
      </c>
      <c r="H558" s="18"/>
      <c r="I558" s="18">
        <v>55.23</v>
      </c>
      <c r="J558" s="18"/>
      <c r="K558" s="18"/>
      <c r="L558" s="88">
        <f>SUM(F558:K558)</f>
        <v>18072.453979999998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56772.7</v>
      </c>
      <c r="G559" s="18">
        <f>F559*0.481</f>
        <v>27307.668699999998</v>
      </c>
      <c r="H559" s="18"/>
      <c r="I559" s="18">
        <v>257.76</v>
      </c>
      <c r="J559" s="18"/>
      <c r="K559" s="18"/>
      <c r="L559" s="88">
        <f>SUM(F559:K559)</f>
        <v>84338.128699999987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81103.86</v>
      </c>
      <c r="G560" s="108">
        <f t="shared" si="46"/>
        <v>39010.956659999996</v>
      </c>
      <c r="H560" s="108">
        <f t="shared" si="46"/>
        <v>0</v>
      </c>
      <c r="I560" s="108">
        <f t="shared" si="46"/>
        <v>368.21999999999997</v>
      </c>
      <c r="J560" s="108">
        <f t="shared" si="46"/>
        <v>0</v>
      </c>
      <c r="K560" s="108">
        <f t="shared" si="46"/>
        <v>0</v>
      </c>
      <c r="L560" s="89">
        <f t="shared" si="46"/>
        <v>120483.03665999998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124168.64+99662.34+91704.47+6369.5</f>
        <v>321904.94999999995</v>
      </c>
      <c r="G567" s="18">
        <f>F567*0.418</f>
        <v>134556.26909999998</v>
      </c>
      <c r="H567" s="18">
        <f>2500</f>
        <v>2500</v>
      </c>
      <c r="I567" s="18">
        <f>1280.66</f>
        <v>1280.6600000000001</v>
      </c>
      <c r="J567" s="18"/>
      <c r="K567" s="18">
        <f>1662.93</f>
        <v>1662.93</v>
      </c>
      <c r="L567" s="88">
        <f>SUM(F567:K567)</f>
        <v>461904.8090999999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f>5771.3+146475.16+6369.5</f>
        <v>158615.96</v>
      </c>
      <c r="G568" s="18">
        <f>F568*0.418</f>
        <v>66301.471279999998</v>
      </c>
      <c r="H568" s="18">
        <f>2500</f>
        <v>2500</v>
      </c>
      <c r="I568" s="18">
        <f>1280.66</f>
        <v>1280.6600000000001</v>
      </c>
      <c r="J568" s="18"/>
      <c r="K568" s="18">
        <f>1662.92</f>
        <v>1662.92</v>
      </c>
      <c r="L568" s="88">
        <f>SUM(F568:K568)</f>
        <v>230361.01128000001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480520.90999999992</v>
      </c>
      <c r="G570" s="193">
        <f t="shared" ref="G570:L570" si="48">SUM(G567:G569)</f>
        <v>200857.74037999997</v>
      </c>
      <c r="H570" s="193">
        <f t="shared" si="48"/>
        <v>5000</v>
      </c>
      <c r="I570" s="193">
        <f t="shared" si="48"/>
        <v>2561.3200000000002</v>
      </c>
      <c r="J570" s="193">
        <f t="shared" si="48"/>
        <v>0</v>
      </c>
      <c r="K570" s="193">
        <f t="shared" si="48"/>
        <v>3325.8500000000004</v>
      </c>
      <c r="L570" s="193">
        <f t="shared" si="48"/>
        <v>692265.82037999993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561624.7699999999</v>
      </c>
      <c r="G571" s="89">
        <f t="shared" ref="G571:L571" si="49">G560+G565+G570</f>
        <v>239868.69703999997</v>
      </c>
      <c r="H571" s="89">
        <f t="shared" si="49"/>
        <v>5000</v>
      </c>
      <c r="I571" s="89">
        <f t="shared" si="49"/>
        <v>2929.54</v>
      </c>
      <c r="J571" s="89">
        <f t="shared" si="49"/>
        <v>0</v>
      </c>
      <c r="K571" s="89">
        <f t="shared" si="49"/>
        <v>3325.8500000000004</v>
      </c>
      <c r="L571" s="89">
        <f t="shared" si="49"/>
        <v>812748.85703999992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461887.73</f>
        <v>461887.73</v>
      </c>
      <c r="G582" s="18">
        <f>162836.59+4275</f>
        <v>167111.59</v>
      </c>
      <c r="H582" s="18">
        <f>1151115.5-12711.77+13724.5</f>
        <v>1152128.23</v>
      </c>
      <c r="I582" s="87">
        <f t="shared" si="50"/>
        <v>1781127.5499999998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90436.08</v>
      </c>
      <c r="I584" s="87">
        <f t="shared" si="50"/>
        <v>90436.08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903876.11</v>
      </c>
      <c r="I591" s="18">
        <v>677907.08</v>
      </c>
      <c r="J591" s="18">
        <f>677907.08-69166</f>
        <v>608741.07999999996</v>
      </c>
      <c r="K591" s="104">
        <f t="shared" ref="K591:K597" si="51">SUM(H591:J591)</f>
        <v>2190524.27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774232.7</v>
      </c>
      <c r="I592" s="18">
        <v>103231.03</v>
      </c>
      <c r="J592" s="18">
        <v>154846.54</v>
      </c>
      <c r="K592" s="104">
        <f t="shared" si="51"/>
        <v>1032310.27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69166</f>
        <v>69166</v>
      </c>
      <c r="K593" s="104">
        <f t="shared" si="51"/>
        <v>69166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12584.11</v>
      </c>
      <c r="J594" s="18">
        <v>76485.83</v>
      </c>
      <c r="K594" s="104">
        <f t="shared" si="51"/>
        <v>89069.94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565.88</v>
      </c>
      <c r="I595" s="18">
        <v>916.12</v>
      </c>
      <c r="J595" s="18">
        <f>511.73+13298.47</f>
        <v>13810.199999999999</v>
      </c>
      <c r="K595" s="104">
        <f t="shared" si="51"/>
        <v>15292.199999999999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1678674.69</v>
      </c>
      <c r="I598" s="108">
        <f>SUM(I591:I597)</f>
        <v>794638.34</v>
      </c>
      <c r="J598" s="108">
        <f>SUM(J591:J597)</f>
        <v>923049.64999999991</v>
      </c>
      <c r="K598" s="108">
        <f>SUM(K591:K597)</f>
        <v>3396362.68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206426.91</v>
      </c>
      <c r="I604" s="18">
        <v>161183.47</v>
      </c>
      <c r="J604" s="18">
        <f>276623.96+8482.11+9807.06</f>
        <v>294913.13</v>
      </c>
      <c r="K604" s="104">
        <f>SUM(H604:J604)</f>
        <v>662523.51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206426.91</v>
      </c>
      <c r="I605" s="108">
        <f>SUM(I602:I604)</f>
        <v>161183.47</v>
      </c>
      <c r="J605" s="108">
        <f>SUM(J602:J604)</f>
        <v>294913.13</v>
      </c>
      <c r="K605" s="108">
        <f>SUM(K602:K604)</f>
        <v>662523.51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6502.24</f>
        <v>6502.24</v>
      </c>
      <c r="G611" s="18">
        <f>F611*0.481</f>
        <v>3127.5774399999996</v>
      </c>
      <c r="H611" s="18"/>
      <c r="I611" s="18">
        <f>383.03</f>
        <v>383.03</v>
      </c>
      <c r="J611" s="18"/>
      <c r="K611" s="18"/>
      <c r="L611" s="88">
        <f>SUM(F611:K611)</f>
        <v>10012.84744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7344</f>
        <v>7344</v>
      </c>
      <c r="G612" s="18">
        <f>F612*0.481</f>
        <v>3532.4639999999999</v>
      </c>
      <c r="H612" s="18"/>
      <c r="I612" s="18">
        <f>1500</f>
        <v>1500</v>
      </c>
      <c r="J612" s="18"/>
      <c r="K612" s="18"/>
      <c r="L612" s="88">
        <f>SUM(F612:K612)</f>
        <v>12376.464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26602.74</f>
        <v>26602.74</v>
      </c>
      <c r="G613" s="18">
        <f>F613*0.481</f>
        <v>12795.917940000001</v>
      </c>
      <c r="H613" s="18"/>
      <c r="I613" s="18">
        <v>1825</v>
      </c>
      <c r="J613" s="18"/>
      <c r="K613" s="18"/>
      <c r="L613" s="88">
        <f>SUM(F613:K613)</f>
        <v>41223.657940000005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40448.980000000003</v>
      </c>
      <c r="G614" s="108">
        <f t="shared" si="52"/>
        <v>19455.95938</v>
      </c>
      <c r="H614" s="108">
        <f t="shared" si="52"/>
        <v>0</v>
      </c>
      <c r="I614" s="108">
        <f t="shared" si="52"/>
        <v>3708.0299999999997</v>
      </c>
      <c r="J614" s="108">
        <f t="shared" si="52"/>
        <v>0</v>
      </c>
      <c r="K614" s="108">
        <f t="shared" si="52"/>
        <v>0</v>
      </c>
      <c r="L614" s="89">
        <f t="shared" si="52"/>
        <v>63612.969380000002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1857293.6800000002</v>
      </c>
      <c r="H617" s="109">
        <f>SUM(F52)</f>
        <v>1857293.6800000002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115104.37000000001</v>
      </c>
      <c r="H618" s="109">
        <f>SUM(G52)</f>
        <v>115104.37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355795.09</v>
      </c>
      <c r="H619" s="109">
        <f>SUM(H52)</f>
        <v>355795.08999999997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848159.58</v>
      </c>
      <c r="H620" s="109">
        <f>SUM(I52)</f>
        <v>848159.58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223866.5</v>
      </c>
      <c r="H621" s="109">
        <f>SUM(J52)</f>
        <v>223866.5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615052.82999999996</v>
      </c>
      <c r="H622" s="109">
        <f>F476</f>
        <v>615052.82999999821</v>
      </c>
      <c r="I622" s="121" t="s">
        <v>101</v>
      </c>
      <c r="J622" s="109">
        <f t="shared" ref="J622:J655" si="53">G622-H622</f>
        <v>1.7462298274040222E-9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67256.959999999992</v>
      </c>
      <c r="H623" s="109">
        <f>G476</f>
        <v>67256.959999999963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16594.11</v>
      </c>
      <c r="H624" s="109">
        <f>H476</f>
        <v>16594.10999999987</v>
      </c>
      <c r="I624" s="121" t="s">
        <v>103</v>
      </c>
      <c r="J624" s="109">
        <f t="shared" si="53"/>
        <v>1.3096723705530167E-10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848159.58</v>
      </c>
      <c r="H625" s="109">
        <f>I476</f>
        <v>848159.57999999984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192370.5</v>
      </c>
      <c r="H626" s="109">
        <f>J476</f>
        <v>192370.5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68335578.450000003</v>
      </c>
      <c r="H627" s="104">
        <f>SUM(F468)</f>
        <v>68335578.450000003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1466152.0399999998</v>
      </c>
      <c r="H628" s="104">
        <f>SUM(G468)</f>
        <v>1466152.04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1382609.76</v>
      </c>
      <c r="H629" s="104">
        <f>SUM(H468)</f>
        <v>1382609.76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500066.68</v>
      </c>
      <c r="H631" s="104">
        <f>SUM(J468)</f>
        <v>500066.68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69898955.859999985</v>
      </c>
      <c r="H632" s="104">
        <f>SUM(F472)</f>
        <v>69898955.859999999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1381257.3599999999</v>
      </c>
      <c r="H633" s="104">
        <f>SUM(H472)</f>
        <v>1381257.36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737561.08000000007</v>
      </c>
      <c r="H634" s="104">
        <f>I369</f>
        <v>737561.08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1428649.4700000002</v>
      </c>
      <c r="H635" s="104">
        <f>SUM(G472)</f>
        <v>1428649.47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1206902.05</v>
      </c>
      <c r="H636" s="104">
        <f>SUM(I472)</f>
        <v>1206902.05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500066.68000000005</v>
      </c>
      <c r="H637" s="164">
        <f>SUM(J468)</f>
        <v>500066.68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737653.12</v>
      </c>
      <c r="H638" s="164">
        <f>SUM(J472)</f>
        <v>737653.12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44955.38</v>
      </c>
      <c r="H639" s="104">
        <f>SUM(F461)</f>
        <v>44955.38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178911.12</v>
      </c>
      <c r="H640" s="104">
        <f>SUM(G461)</f>
        <v>178911.12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223866.5</v>
      </c>
      <c r="H642" s="104">
        <f>SUM(I461)</f>
        <v>223866.5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66.680000000000007</v>
      </c>
      <c r="H644" s="104">
        <f>H408</f>
        <v>66.680000000000007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500000</v>
      </c>
      <c r="H645" s="104">
        <f>G408</f>
        <v>500000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500066.68</v>
      </c>
      <c r="H646" s="104">
        <f>L408</f>
        <v>500066.68000000005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3396362.68</v>
      </c>
      <c r="H647" s="104">
        <f>L208+L226+L244</f>
        <v>3396362.6799999997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662523.51</v>
      </c>
      <c r="H648" s="104">
        <f>(J257+J338)-(J255+J336)</f>
        <v>662523.51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1678674.69</v>
      </c>
      <c r="H649" s="104">
        <f>H598</f>
        <v>1678674.69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794638.34</v>
      </c>
      <c r="H650" s="104">
        <f>I598</f>
        <v>794638.34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923049.65</v>
      </c>
      <c r="H651" s="104">
        <f>J598</f>
        <v>923049.64999999991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52273.74</v>
      </c>
      <c r="H652" s="104">
        <f>K263+K345</f>
        <v>52273.74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500000</v>
      </c>
      <c r="H655" s="104">
        <f>K266+K347</f>
        <v>500000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28689075.589999996</v>
      </c>
      <c r="G660" s="19">
        <f>(L229+L309+L359)</f>
        <v>15071982.480000002</v>
      </c>
      <c r="H660" s="19">
        <f>(L247+L328+L360)</f>
        <v>25379597.349999994</v>
      </c>
      <c r="I660" s="19">
        <f>SUM(F660:H660)</f>
        <v>69140655.419999987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361152.2518799043</v>
      </c>
      <c r="G661" s="19">
        <f>(L359/IF(SUM(L358:L360)=0,1,SUM(L358:L360))*(SUM(G97:G110)))</f>
        <v>266723.89971124491</v>
      </c>
      <c r="H661" s="19">
        <f>(L360/IF(SUM(L358:L360)=0,1,SUM(L358:L360))*(SUM(G97:G110)))</f>
        <v>522249.03840885067</v>
      </c>
      <c r="I661" s="19">
        <f>SUM(F661:H661)</f>
        <v>1150125.19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1678674.69</v>
      </c>
      <c r="G662" s="19">
        <f>(L226+L306)-(J226+J306)</f>
        <v>794638.34</v>
      </c>
      <c r="H662" s="19">
        <f>(L244+L325)-(J244+J325)</f>
        <v>923049.65</v>
      </c>
      <c r="I662" s="19">
        <f>SUM(F662:H662)</f>
        <v>3396362.6799999997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678327.48744000006</v>
      </c>
      <c r="G663" s="199">
        <f>SUM(G575:G587)+SUM(I602:I604)+L612</f>
        <v>340671.52399999998</v>
      </c>
      <c r="H663" s="199">
        <f>SUM(H575:H587)+SUM(J602:J604)+L613</f>
        <v>1578701.09794</v>
      </c>
      <c r="I663" s="19">
        <f>SUM(F663:H663)</f>
        <v>2597700.1093800003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25970921.160680093</v>
      </c>
      <c r="G664" s="19">
        <f>G660-SUM(G661:G663)</f>
        <v>13669948.716288757</v>
      </c>
      <c r="H664" s="19">
        <f>H660-SUM(H661:H663)</f>
        <v>22355597.563651145</v>
      </c>
      <c r="I664" s="19">
        <f>I660-SUM(I661:I663)</f>
        <v>61996467.44061999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1605.23</v>
      </c>
      <c r="G665" s="248">
        <v>998.34</v>
      </c>
      <c r="H665" s="248">
        <v>1560.5</v>
      </c>
      <c r="I665" s="19">
        <f>SUM(F665:H665)</f>
        <v>4164.07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16178.94</v>
      </c>
      <c r="G667" s="19">
        <f>ROUND(G664/G665,2)</f>
        <v>13692.68</v>
      </c>
      <c r="H667" s="19">
        <f>ROUND(H664/H665,2)</f>
        <v>14325.92</v>
      </c>
      <c r="I667" s="19">
        <f>ROUND(I664/I665,2)</f>
        <v>14888.43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-27.11</v>
      </c>
      <c r="I670" s="19">
        <f>SUM(F670:H670)</f>
        <v>-27.11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16178.94</v>
      </c>
      <c r="G672" s="19">
        <f>ROUND((G664+G669)/(G665+G670),2)</f>
        <v>13692.68</v>
      </c>
      <c r="H672" s="19">
        <f>ROUND((H664+H669)/(H665+H670),2)</f>
        <v>14579.2</v>
      </c>
      <c r="I672" s="19">
        <f>ROUND((I664+I669)/(I665+I670),2)</f>
        <v>14986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Londonderry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18012231.02</v>
      </c>
      <c r="C9" s="229">
        <f>'DOE25'!G197+'DOE25'!G215+'DOE25'!G233+'DOE25'!G276+'DOE25'!G295+'DOE25'!G314</f>
        <v>8787606.9700000007</v>
      </c>
    </row>
    <row r="10" spans="1:3" x14ac:dyDescent="0.2">
      <c r="A10" t="s">
        <v>779</v>
      </c>
      <c r="B10" s="240">
        <f>17212867.6</f>
        <v>17212867.600000001</v>
      </c>
      <c r="C10" s="240">
        <v>8550341.5800000001</v>
      </c>
    </row>
    <row r="11" spans="1:3" x14ac:dyDescent="0.2">
      <c r="A11" t="s">
        <v>780</v>
      </c>
      <c r="B11" s="240">
        <f>334317.03</f>
        <v>334317.03000000003</v>
      </c>
      <c r="C11" s="240">
        <v>149389.32</v>
      </c>
    </row>
    <row r="12" spans="1:3" x14ac:dyDescent="0.2">
      <c r="A12" t="s">
        <v>781</v>
      </c>
      <c r="B12" s="240">
        <f>9303.7+455742.69</f>
        <v>465046.39</v>
      </c>
      <c r="C12" s="240">
        <v>87876.07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18012231.020000003</v>
      </c>
      <c r="C13" s="231">
        <f>SUM(C10:C12)</f>
        <v>8787606.9700000007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8389401.7200000007</v>
      </c>
      <c r="C18" s="229">
        <f>'DOE25'!G198+'DOE25'!G216+'DOE25'!G234+'DOE25'!G277+'DOE25'!G296+'DOE25'!G315</f>
        <v>4011154.0600000005</v>
      </c>
    </row>
    <row r="19" spans="1:3" x14ac:dyDescent="0.2">
      <c r="A19" t="s">
        <v>779</v>
      </c>
      <c r="B19" s="240">
        <f>5679507.37-147372.01-85446.09-93519.09+12739+0.01</f>
        <v>5365909.1900000004</v>
      </c>
      <c r="C19" s="240">
        <v>2743629.38</v>
      </c>
    </row>
    <row r="20" spans="1:3" x14ac:dyDescent="0.2">
      <c r="A20" t="s">
        <v>780</v>
      </c>
      <c r="B20" s="240">
        <f>2576406.49-29432.25-21190.96-24360-29017.52-28293.99-27765.19</f>
        <v>2416346.58</v>
      </c>
      <c r="C20" s="240">
        <v>1058944.67</v>
      </c>
    </row>
    <row r="21" spans="1:3" x14ac:dyDescent="0.2">
      <c r="A21" t="s">
        <v>781</v>
      </c>
      <c r="B21" s="240">
        <f>147372.01+85446.09+93519.09+29432.25+21190.96+24360+29017.52+28293.99+27765.19+35091.81+85657.04</f>
        <v>607145.95000000007</v>
      </c>
      <c r="C21" s="240">
        <v>208580.01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8389401.7200000007</v>
      </c>
      <c r="C22" s="231">
        <f>SUM(C19:C21)</f>
        <v>4011154.0599999996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943391.91</v>
      </c>
      <c r="C36" s="235">
        <f>'DOE25'!G200+'DOE25'!G218+'DOE25'!G236+'DOE25'!G279+'DOE25'!G298+'DOE25'!G317</f>
        <v>448521.94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943391.91</v>
      </c>
      <c r="C39" s="240">
        <v>448521.94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943391.91</v>
      </c>
      <c r="C40" s="231">
        <f>SUM(C37:C39)</f>
        <v>448521.94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Londonderry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42492060.049999997</v>
      </c>
      <c r="D5" s="20">
        <f>SUM('DOE25'!L197:L200)+SUM('DOE25'!L215:L218)+SUM('DOE25'!L233:L236)-F5-G5</f>
        <v>42310194.529999994</v>
      </c>
      <c r="E5" s="243"/>
      <c r="F5" s="255">
        <f>SUM('DOE25'!J197:J200)+SUM('DOE25'!J215:J218)+SUM('DOE25'!J233:J236)</f>
        <v>134891.71</v>
      </c>
      <c r="G5" s="53">
        <f>SUM('DOE25'!K197:K200)+SUM('DOE25'!K215:K218)+SUM('DOE25'!K233:K236)</f>
        <v>46973.81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5772084.0499999998</v>
      </c>
      <c r="D6" s="20">
        <f>'DOE25'!L202+'DOE25'!L220+'DOE25'!L238-F6-G6</f>
        <v>5768044.4199999999</v>
      </c>
      <c r="E6" s="243"/>
      <c r="F6" s="255">
        <f>'DOE25'!J202+'DOE25'!J220+'DOE25'!J238</f>
        <v>0</v>
      </c>
      <c r="G6" s="53">
        <f>'DOE25'!K202+'DOE25'!K220+'DOE25'!K238</f>
        <v>4039.63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1969353</v>
      </c>
      <c r="D7" s="20">
        <f>'DOE25'!L203+'DOE25'!L221+'DOE25'!L239-F7-G7</f>
        <v>1943122.41</v>
      </c>
      <c r="E7" s="243"/>
      <c r="F7" s="255">
        <f>'DOE25'!J203+'DOE25'!J221+'DOE25'!J239</f>
        <v>24047.589999999997</v>
      </c>
      <c r="G7" s="53">
        <f>'DOE25'!K203+'DOE25'!K221+'DOE25'!K239</f>
        <v>2183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442135.91999999993</v>
      </c>
      <c r="D8" s="243"/>
      <c r="E8" s="20">
        <f>'DOE25'!L204+'DOE25'!L222+'DOE25'!L240-F8-G8-D9-D11</f>
        <v>417381.74999999988</v>
      </c>
      <c r="F8" s="255">
        <f>'DOE25'!J204+'DOE25'!J222+'DOE25'!J240</f>
        <v>5480.83</v>
      </c>
      <c r="G8" s="53">
        <f>'DOE25'!K204+'DOE25'!K222+'DOE25'!K240</f>
        <v>19273.339999999997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47096.1</v>
      </c>
      <c r="D9" s="244">
        <v>47096.1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19526.54</v>
      </c>
      <c r="D10" s="243"/>
      <c r="E10" s="244">
        <v>19526.54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587715.96</v>
      </c>
      <c r="D11" s="244">
        <v>587715.96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3242951.4400000004</v>
      </c>
      <c r="D12" s="20">
        <f>'DOE25'!L205+'DOE25'!L223+'DOE25'!L241-F12-G12</f>
        <v>3232300.24</v>
      </c>
      <c r="E12" s="243"/>
      <c r="F12" s="255">
        <f>'DOE25'!J205+'DOE25'!J223+'DOE25'!J241</f>
        <v>0</v>
      </c>
      <c r="G12" s="53">
        <f>'DOE25'!K205+'DOE25'!K223+'DOE25'!K241</f>
        <v>10651.2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890800.04</v>
      </c>
      <c r="D13" s="243"/>
      <c r="E13" s="20">
        <f>'DOE25'!L206+'DOE25'!L224+'DOE25'!L242-F13-G13</f>
        <v>890800.04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6119396.3900000006</v>
      </c>
      <c r="D14" s="20">
        <f>'DOE25'!L207+'DOE25'!L225+'DOE25'!L243-F14-G14</f>
        <v>6038135.2200000007</v>
      </c>
      <c r="E14" s="243"/>
      <c r="F14" s="255">
        <f>'DOE25'!J207+'DOE25'!J225+'DOE25'!J243</f>
        <v>80316.169999999984</v>
      </c>
      <c r="G14" s="53">
        <f>'DOE25'!K207+'DOE25'!K225+'DOE25'!K243</f>
        <v>945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3396362.6799999997</v>
      </c>
      <c r="D15" s="20">
        <f>'DOE25'!L208+'DOE25'!L226+'DOE25'!L244-F15-G15</f>
        <v>3396362.6799999997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1413379.42</v>
      </c>
      <c r="D16" s="243"/>
      <c r="E16" s="20">
        <f>'DOE25'!L209+'DOE25'!L227+'DOE25'!L245-F16-G16</f>
        <v>1013881.3799999999</v>
      </c>
      <c r="F16" s="255">
        <f>'DOE25'!J209+'DOE25'!J227+'DOE25'!J245</f>
        <v>399498.04000000004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47127.429999999993</v>
      </c>
      <c r="D17" s="20">
        <f>'DOE25'!L251-F17-G17</f>
        <v>47127.429999999993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2913507.87</v>
      </c>
      <c r="D25" s="243"/>
      <c r="E25" s="243"/>
      <c r="F25" s="258"/>
      <c r="G25" s="256"/>
      <c r="H25" s="257">
        <f>'DOE25'!L260+'DOE25'!L261+'DOE25'!L341+'DOE25'!L342</f>
        <v>2913507.87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768095.11000000022</v>
      </c>
      <c r="D29" s="20">
        <f>'DOE25'!L358+'DOE25'!L359+'DOE25'!L360-'DOE25'!I367-F29-G29</f>
        <v>705108.61000000022</v>
      </c>
      <c r="E29" s="243"/>
      <c r="F29" s="255">
        <f>'DOE25'!J358+'DOE25'!J359+'DOE25'!J360</f>
        <v>39842</v>
      </c>
      <c r="G29" s="53">
        <f>'DOE25'!K358+'DOE25'!K359+'DOE25'!K360</f>
        <v>23144.500000000004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1381257.3599999999</v>
      </c>
      <c r="D31" s="20">
        <f>'DOE25'!L290+'DOE25'!L309+'DOE25'!L328+'DOE25'!L333+'DOE25'!L334+'DOE25'!L335-F31-G31</f>
        <v>1362968.19</v>
      </c>
      <c r="E31" s="243"/>
      <c r="F31" s="255">
        <f>'DOE25'!J290+'DOE25'!J309+'DOE25'!J328+'DOE25'!J333+'DOE25'!J334+'DOE25'!J335</f>
        <v>18289.169999999998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65438175.789999992</v>
      </c>
      <c r="E33" s="246">
        <f>SUM(E5:E31)</f>
        <v>2341589.71</v>
      </c>
      <c r="F33" s="246">
        <f>SUM(F5:F31)</f>
        <v>702365.51</v>
      </c>
      <c r="G33" s="246">
        <f>SUM(G5:G31)</f>
        <v>107210.48</v>
      </c>
      <c r="H33" s="246">
        <f>SUM(H5:H31)</f>
        <v>2913507.87</v>
      </c>
    </row>
    <row r="35" spans="2:8" ht="12" thickBot="1" x14ac:dyDescent="0.25">
      <c r="B35" s="253" t="s">
        <v>847</v>
      </c>
      <c r="D35" s="254">
        <f>E33</f>
        <v>2341589.71</v>
      </c>
      <c r="E35" s="249"/>
    </row>
    <row r="36" spans="2:8" ht="12" thickTop="1" x14ac:dyDescent="0.2">
      <c r="B36" t="s">
        <v>815</v>
      </c>
      <c r="D36" s="20">
        <f>D33</f>
        <v>65438175.789999992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1724355.35</v>
      </c>
      <c r="D8" s="95">
        <f>'DOE25'!G9</f>
        <v>5600</v>
      </c>
      <c r="E8" s="95">
        <f>'DOE25'!H9</f>
        <v>0</v>
      </c>
      <c r="F8" s="95">
        <f>'DOE25'!I9</f>
        <v>0</v>
      </c>
      <c r="G8" s="95">
        <f>'DOE25'!J9</f>
        <v>223866.5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63452.86</v>
      </c>
      <c r="E11" s="95">
        <f>'DOE25'!H12</f>
        <v>0</v>
      </c>
      <c r="F11" s="95">
        <f>'DOE25'!I12</f>
        <v>848159.58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10773.11</v>
      </c>
      <c r="E12" s="95">
        <f>'DOE25'!H13</f>
        <v>355795.09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24733.84</v>
      </c>
      <c r="D13" s="95">
        <f>'DOE25'!G14</f>
        <v>8721.5400000000009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26556.86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108204.49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1857293.6800000002</v>
      </c>
      <c r="D18" s="41">
        <f>SUM(D8:D17)</f>
        <v>115104.37000000001</v>
      </c>
      <c r="E18" s="41">
        <f>SUM(E8:E17)</f>
        <v>355795.09</v>
      </c>
      <c r="F18" s="41">
        <f>SUM(F8:F17)</f>
        <v>848159.58</v>
      </c>
      <c r="G18" s="41">
        <f>SUM(G8:G17)</f>
        <v>223866.5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601086.46</v>
      </c>
      <c r="D21" s="95">
        <f>'DOE25'!G22</f>
        <v>0</v>
      </c>
      <c r="E21" s="95">
        <f>'DOE25'!H22</f>
        <v>279029.98</v>
      </c>
      <c r="F21" s="95">
        <f>'DOE25'!I22</f>
        <v>0</v>
      </c>
      <c r="G21" s="95">
        <f>'DOE25'!J22</f>
        <v>31496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140300.38</v>
      </c>
      <c r="D23" s="95">
        <f>'DOE25'!G24</f>
        <v>47225.01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338644.71</v>
      </c>
      <c r="D27" s="95">
        <f>'DOE25'!G28</f>
        <v>622.4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162209.29999999999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60171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1242240.8500000001</v>
      </c>
      <c r="D31" s="41">
        <f>SUM(D21:D30)</f>
        <v>47847.41</v>
      </c>
      <c r="E31" s="41">
        <f>SUM(E21:E30)</f>
        <v>339200.98</v>
      </c>
      <c r="F31" s="41">
        <f>SUM(F21:F30)</f>
        <v>0</v>
      </c>
      <c r="G31" s="41">
        <f>SUM(G21:G30)</f>
        <v>31496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26556.86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108204.49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16594.11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848159.58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402810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40700.1</v>
      </c>
      <c r="E47" s="95">
        <f>'DOE25'!H48</f>
        <v>0</v>
      </c>
      <c r="F47" s="95">
        <f>'DOE25'!I48</f>
        <v>0</v>
      </c>
      <c r="G47" s="95">
        <f>'DOE25'!J48</f>
        <v>192370.5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4038.34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615052.82999999996</v>
      </c>
      <c r="D50" s="41">
        <f>SUM(D34:D49)</f>
        <v>67256.959999999992</v>
      </c>
      <c r="E50" s="41">
        <f>SUM(E34:E49)</f>
        <v>16594.11</v>
      </c>
      <c r="F50" s="41">
        <f>SUM(F34:F49)</f>
        <v>848159.58</v>
      </c>
      <c r="G50" s="41">
        <f>SUM(G34:G49)</f>
        <v>192370.5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1857293.6800000002</v>
      </c>
      <c r="D51" s="41">
        <f>D50+D31</f>
        <v>115104.37</v>
      </c>
      <c r="E51" s="41">
        <f>E50+E31</f>
        <v>355795.08999999997</v>
      </c>
      <c r="F51" s="41">
        <f>F50+F31</f>
        <v>848159.58</v>
      </c>
      <c r="G51" s="41">
        <f>G50+G31</f>
        <v>223866.5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47066055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971347.07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9.43</v>
      </c>
      <c r="E59" s="95">
        <f>'DOE25'!H96</f>
        <v>0</v>
      </c>
      <c r="F59" s="95">
        <f>'DOE25'!I96</f>
        <v>0</v>
      </c>
      <c r="G59" s="95">
        <f>'DOE25'!J96</f>
        <v>66.680000000000007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1061302.03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163808.03999999998</v>
      </c>
      <c r="D61" s="95">
        <f>SUM('DOE25'!G98:G110)</f>
        <v>88823.16</v>
      </c>
      <c r="E61" s="95">
        <f>SUM('DOE25'!H98:H110)</f>
        <v>19127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1135155.1099999999</v>
      </c>
      <c r="D62" s="130">
        <f>SUM(D57:D61)</f>
        <v>1150134.6199999999</v>
      </c>
      <c r="E62" s="130">
        <f>SUM(E57:E61)</f>
        <v>19127</v>
      </c>
      <c r="F62" s="130">
        <f>SUM(F57:F61)</f>
        <v>0</v>
      </c>
      <c r="G62" s="130">
        <f>SUM(G57:G61)</f>
        <v>66.680000000000007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48201210.109999999</v>
      </c>
      <c r="D63" s="22">
        <f>D56+D62</f>
        <v>1150134.6199999999</v>
      </c>
      <c r="E63" s="22">
        <f>E56+E62</f>
        <v>19127</v>
      </c>
      <c r="F63" s="22">
        <f>F56+F62</f>
        <v>0</v>
      </c>
      <c r="G63" s="22">
        <f>G56+G62</f>
        <v>66.680000000000007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11692634.039999999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6550222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18242856.039999999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550194.51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301055.33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34959.1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190</v>
      </c>
      <c r="D77" s="95">
        <f>SUM('DOE25'!G131:G135)</f>
        <v>14072.2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886398.94000000006</v>
      </c>
      <c r="D78" s="130">
        <f>SUM(D72:D77)</f>
        <v>14072.2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19129254.98</v>
      </c>
      <c r="D81" s="130">
        <f>SUM(D79:D80)+D78+D70</f>
        <v>14072.2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84942.55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331013.69</v>
      </c>
      <c r="D88" s="95">
        <f>SUM('DOE25'!G153:G161)</f>
        <v>249671.47999999998</v>
      </c>
      <c r="E88" s="95">
        <f>SUM('DOE25'!H153:H161)</f>
        <v>1363482.76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415956.24</v>
      </c>
      <c r="D91" s="131">
        <f>SUM(D85:D90)</f>
        <v>249671.47999999998</v>
      </c>
      <c r="E91" s="131">
        <f>SUM(E85:E90)</f>
        <v>1363482.76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52273.74</v>
      </c>
      <c r="E96" s="95">
        <f>'DOE25'!H179</f>
        <v>0</v>
      </c>
      <c r="F96" s="95">
        <f>'DOE25'!I179</f>
        <v>0</v>
      </c>
      <c r="G96" s="95">
        <f>'DOE25'!J179</f>
        <v>500000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148703.5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440453.62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589157.12</v>
      </c>
      <c r="D103" s="86">
        <f>SUM(D93:D102)</f>
        <v>52273.74</v>
      </c>
      <c r="E103" s="86">
        <f>SUM(E93:E102)</f>
        <v>0</v>
      </c>
      <c r="F103" s="86">
        <f>SUM(F93:F102)</f>
        <v>0</v>
      </c>
      <c r="G103" s="86">
        <f>SUM(G93:G102)</f>
        <v>500000</v>
      </c>
    </row>
    <row r="104" spans="1:7" ht="12.75" thickTop="1" thickBot="1" x14ac:dyDescent="0.25">
      <c r="A104" s="33" t="s">
        <v>765</v>
      </c>
      <c r="C104" s="86">
        <f>C63+C81+C91+C103</f>
        <v>68335578.450000003</v>
      </c>
      <c r="D104" s="86">
        <f>D63+D81+D91+D103</f>
        <v>1466152.0399999998</v>
      </c>
      <c r="E104" s="86">
        <f>E63+E81+E91+E103</f>
        <v>1382609.76</v>
      </c>
      <c r="F104" s="86">
        <f>F63+F81+F91+F103</f>
        <v>0</v>
      </c>
      <c r="G104" s="86">
        <f>G63+G81+G103</f>
        <v>500066.68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27207444.029999997</v>
      </c>
      <c r="D109" s="24" t="s">
        <v>289</v>
      </c>
      <c r="E109" s="95">
        <f>('DOE25'!L276)+('DOE25'!L295)+('DOE25'!L314)</f>
        <v>315741.76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13481045.75</v>
      </c>
      <c r="D110" s="24" t="s">
        <v>289</v>
      </c>
      <c r="E110" s="95">
        <f>('DOE25'!L277)+('DOE25'!L296)+('DOE25'!L315)</f>
        <v>800381.71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90436.08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1713134.1900000002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47127.429999999993</v>
      </c>
      <c r="D114" s="24" t="s">
        <v>289</v>
      </c>
      <c r="E114" s="95">
        <f>+ SUM('DOE25'!L333:L335)</f>
        <v>42586.46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42539187.479999997</v>
      </c>
      <c r="D115" s="86">
        <f>SUM(D109:D114)</f>
        <v>0</v>
      </c>
      <c r="E115" s="86">
        <f>SUM(E109:E114)</f>
        <v>1158709.93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5772084.0499999998</v>
      </c>
      <c r="D118" s="24" t="s">
        <v>289</v>
      </c>
      <c r="E118" s="95">
        <f>+('DOE25'!L281)+('DOE25'!L300)+('DOE25'!L319)</f>
        <v>215812.78000000003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1969353</v>
      </c>
      <c r="D119" s="24" t="s">
        <v>289</v>
      </c>
      <c r="E119" s="95">
        <f>+('DOE25'!L282)+('DOE25'!L301)+('DOE25'!L320)</f>
        <v>6734.65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1076947.98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3242951.4400000004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890800.04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6119396.3900000006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3396362.6799999997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1413379.42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1428649.4700000002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23881275</v>
      </c>
      <c r="D128" s="86">
        <f>SUM(D118:D127)</f>
        <v>1428649.4700000002</v>
      </c>
      <c r="E128" s="86">
        <f>SUM(E118:E127)</f>
        <v>222547.43000000002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1206902.05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2115000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798507.87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737653.12</v>
      </c>
    </row>
    <row r="135" spans="1:7" x14ac:dyDescent="0.2">
      <c r="A135" t="s">
        <v>233</v>
      </c>
      <c r="B135" s="32" t="s">
        <v>234</v>
      </c>
      <c r="C135" s="95">
        <f>'DOE25'!L263</f>
        <v>52273.74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100010.97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400055.71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-66.680000000051223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12711.77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3478493.3800000004</v>
      </c>
      <c r="D144" s="141">
        <f>SUM(D130:D143)</f>
        <v>0</v>
      </c>
      <c r="E144" s="141">
        <f>SUM(E130:E143)</f>
        <v>0</v>
      </c>
      <c r="F144" s="141">
        <f>SUM(F130:F143)</f>
        <v>1206902.05</v>
      </c>
      <c r="G144" s="141">
        <f>SUM(G130:G143)</f>
        <v>737653.12</v>
      </c>
    </row>
    <row r="145" spans="1:9" ht="12.75" thickTop="1" thickBot="1" x14ac:dyDescent="0.25">
      <c r="A145" s="33" t="s">
        <v>244</v>
      </c>
      <c r="C145" s="86">
        <f>(C115+C128+C144)</f>
        <v>69898955.859999999</v>
      </c>
      <c r="D145" s="86">
        <f>(D115+D128+D144)</f>
        <v>1428649.4700000002</v>
      </c>
      <c r="E145" s="86">
        <f>(E115+E128+E144)</f>
        <v>1381257.3599999999</v>
      </c>
      <c r="F145" s="86">
        <f>(F115+F128+F144)</f>
        <v>1206902.05</v>
      </c>
      <c r="G145" s="86">
        <f>(G115+G128+G144)</f>
        <v>737653.12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13</v>
      </c>
      <c r="D151" s="153">
        <f>'DOE25'!H490</f>
        <v>20</v>
      </c>
      <c r="E151" s="153">
        <f>'DOE25'!I490</f>
        <v>12</v>
      </c>
      <c r="F151" s="153">
        <f>'DOE25'!J490</f>
        <v>20</v>
      </c>
      <c r="G151" s="24" t="s">
        <v>289</v>
      </c>
    </row>
    <row r="152" spans="1:9" x14ac:dyDescent="0.2">
      <c r="A152" s="136" t="s">
        <v>28</v>
      </c>
      <c r="B152" s="152" t="str">
        <f>'DOE25'!F491</f>
        <v>04/02</v>
      </c>
      <c r="C152" s="152" t="str">
        <f>'DOE25'!G491</f>
        <v>02/04</v>
      </c>
      <c r="D152" s="152">
        <f>'DOE25'!H491</f>
        <v>0.875</v>
      </c>
      <c r="E152" s="152">
        <f>'DOE25'!I491</f>
        <v>0.35714285714285715</v>
      </c>
      <c r="F152" s="152">
        <f>'DOE25'!J491</f>
        <v>0.5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07/22</v>
      </c>
      <c r="C153" s="152" t="str">
        <f>'DOE25'!G492</f>
        <v>08/16</v>
      </c>
      <c r="D153" s="152">
        <f>'DOE25'!H492</f>
        <v>0.25</v>
      </c>
      <c r="E153" s="152">
        <f>'DOE25'!I492</f>
        <v>0.30769230769230771</v>
      </c>
      <c r="F153" s="152">
        <f>'DOE25'!J492</f>
        <v>0.29166666666666669</v>
      </c>
      <c r="G153" s="24" t="s">
        <v>289</v>
      </c>
    </row>
    <row r="154" spans="1:9" x14ac:dyDescent="0.2">
      <c r="A154" s="136" t="s">
        <v>30</v>
      </c>
      <c r="B154" s="137">
        <f>'DOE25'!F493</f>
        <v>12030000</v>
      </c>
      <c r="C154" s="137">
        <f>'DOE25'!G493</f>
        <v>6935000</v>
      </c>
      <c r="D154" s="137">
        <f>'DOE25'!H493</f>
        <v>5100000</v>
      </c>
      <c r="E154" s="137">
        <f>'DOE25'!I493</f>
        <v>2955000</v>
      </c>
      <c r="F154" s="137">
        <f>'DOE25'!J493</f>
        <v>3895000</v>
      </c>
      <c r="G154" s="24" t="s">
        <v>289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3.25</v>
      </c>
      <c r="D155" s="137">
        <f>'DOE25'!H494</f>
        <v>4.09</v>
      </c>
      <c r="E155" s="137">
        <f>'DOE25'!I494</f>
        <v>1.94</v>
      </c>
      <c r="F155" s="137">
        <f>'DOE25'!J494</f>
        <v>2.14</v>
      </c>
      <c r="G155" s="24" t="s">
        <v>289</v>
      </c>
    </row>
    <row r="156" spans="1:9" x14ac:dyDescent="0.2">
      <c r="A156" s="22" t="s">
        <v>32</v>
      </c>
      <c r="B156" s="137">
        <f>'DOE25'!F495</f>
        <v>5330000</v>
      </c>
      <c r="C156" s="137">
        <f>'DOE25'!G495</f>
        <v>975000</v>
      </c>
      <c r="D156" s="137">
        <f>'DOE25'!H495</f>
        <v>3570000</v>
      </c>
      <c r="E156" s="137">
        <f>'DOE25'!I495</f>
        <v>3180000</v>
      </c>
      <c r="F156" s="137">
        <f>'DOE25'!J495</f>
        <v>3895000</v>
      </c>
      <c r="G156" s="138">
        <f>SUM(B156:F156)</f>
        <v>16950000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 t="str">
        <f>'DOE25'!I496</f>
        <v>inc unrefunded bond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670000</v>
      </c>
      <c r="C158" s="137">
        <f>'DOE25'!G497</f>
        <v>490000</v>
      </c>
      <c r="D158" s="137">
        <f>'DOE25'!H497</f>
        <v>255000</v>
      </c>
      <c r="E158" s="137">
        <f>'DOE25'!I497</f>
        <v>310000</v>
      </c>
      <c r="F158" s="137">
        <f>'DOE25'!J497</f>
        <v>390000</v>
      </c>
      <c r="G158" s="138">
        <f t="shared" si="0"/>
        <v>2115000</v>
      </c>
    </row>
    <row r="159" spans="1:9" x14ac:dyDescent="0.2">
      <c r="A159" s="22" t="s">
        <v>35</v>
      </c>
      <c r="B159" s="137">
        <f>'DOE25'!F498</f>
        <v>4660000</v>
      </c>
      <c r="C159" s="137">
        <f>'DOE25'!G498</f>
        <v>485000</v>
      </c>
      <c r="D159" s="137">
        <f>'DOE25'!H498</f>
        <v>3315000</v>
      </c>
      <c r="E159" s="137">
        <f>'DOE25'!I498</f>
        <v>2870000</v>
      </c>
      <c r="F159" s="137">
        <f>'DOE25'!J498</f>
        <v>3505000</v>
      </c>
      <c r="G159" s="138">
        <f t="shared" si="0"/>
        <v>14835000</v>
      </c>
    </row>
    <row r="160" spans="1:9" x14ac:dyDescent="0.2">
      <c r="A160" s="22" t="s">
        <v>36</v>
      </c>
      <c r="B160" s="137">
        <f>'DOE25'!F499</f>
        <v>800442.5</v>
      </c>
      <c r="C160" s="137">
        <f>'DOE25'!G499</f>
        <v>9700</v>
      </c>
      <c r="D160" s="137">
        <f>'DOE25'!H499</f>
        <v>885965.63</v>
      </c>
      <c r="E160" s="137">
        <f>'DOE25'!I499</f>
        <v>311490.7</v>
      </c>
      <c r="F160" s="137">
        <f>'DOE25'!J499</f>
        <v>472575</v>
      </c>
      <c r="G160" s="138">
        <f t="shared" si="0"/>
        <v>2480173.83</v>
      </c>
    </row>
    <row r="161" spans="1:7" x14ac:dyDescent="0.2">
      <c r="A161" s="22" t="s">
        <v>37</v>
      </c>
      <c r="B161" s="137">
        <f>'DOE25'!F500</f>
        <v>5460442.5</v>
      </c>
      <c r="C161" s="137">
        <f>'DOE25'!G500</f>
        <v>494700</v>
      </c>
      <c r="D161" s="137">
        <f>'DOE25'!H500</f>
        <v>4200965.63</v>
      </c>
      <c r="E161" s="137">
        <f>'DOE25'!I500</f>
        <v>3181490.7</v>
      </c>
      <c r="F161" s="137">
        <f>'DOE25'!J500</f>
        <v>3977575</v>
      </c>
      <c r="G161" s="138">
        <f t="shared" si="0"/>
        <v>17315173.829999998</v>
      </c>
    </row>
    <row r="162" spans="1:7" x14ac:dyDescent="0.2">
      <c r="A162" s="22" t="s">
        <v>38</v>
      </c>
      <c r="B162" s="137">
        <f>'DOE25'!F501</f>
        <v>670000</v>
      </c>
      <c r="C162" s="137">
        <f>'DOE25'!G501</f>
        <v>485000</v>
      </c>
      <c r="D162" s="137">
        <f>'DOE25'!H501</f>
        <v>255000</v>
      </c>
      <c r="E162" s="137">
        <f>'DOE25'!I501</f>
        <v>305000</v>
      </c>
      <c r="F162" s="137">
        <f>'DOE25'!J501</f>
        <v>390000</v>
      </c>
      <c r="G162" s="138">
        <f t="shared" si="0"/>
        <v>2105000</v>
      </c>
    </row>
    <row r="163" spans="1:7" x14ac:dyDescent="0.2">
      <c r="A163" s="22" t="s">
        <v>39</v>
      </c>
      <c r="B163" s="137">
        <f>'DOE25'!F502</f>
        <v>209590</v>
      </c>
      <c r="C163" s="137">
        <f>'DOE25'!G502</f>
        <v>9700</v>
      </c>
      <c r="D163" s="137">
        <f>'DOE25'!H502</f>
        <v>130846.88</v>
      </c>
      <c r="E163" s="137">
        <f>'DOE25'!I502</f>
        <v>58443.76</v>
      </c>
      <c r="F163" s="137">
        <f>'DOE25'!J502</f>
        <v>99000</v>
      </c>
      <c r="G163" s="138">
        <f t="shared" si="0"/>
        <v>507580.64</v>
      </c>
    </row>
    <row r="164" spans="1:7" x14ac:dyDescent="0.2">
      <c r="A164" s="22" t="s">
        <v>246</v>
      </c>
      <c r="B164" s="137">
        <f>'DOE25'!F503</f>
        <v>879590</v>
      </c>
      <c r="C164" s="137">
        <f>'DOE25'!G503</f>
        <v>494700</v>
      </c>
      <c r="D164" s="137">
        <f>'DOE25'!H503</f>
        <v>385846.88</v>
      </c>
      <c r="E164" s="137">
        <f>'DOE25'!I503</f>
        <v>363443.76</v>
      </c>
      <c r="F164" s="137">
        <f>'DOE25'!J503</f>
        <v>489000</v>
      </c>
      <c r="G164" s="138">
        <f t="shared" si="0"/>
        <v>2612580.6399999997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Londonderry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16179</v>
      </c>
    </row>
    <row r="5" spans="1:4" x14ac:dyDescent="0.2">
      <c r="B5" t="s">
        <v>704</v>
      </c>
      <c r="C5" s="179">
        <f>IF('DOE25'!G665+'DOE25'!G670=0,0,ROUND('DOE25'!G672,0))</f>
        <v>13693</v>
      </c>
    </row>
    <row r="6" spans="1:4" x14ac:dyDescent="0.2">
      <c r="B6" t="s">
        <v>62</v>
      </c>
      <c r="C6" s="179">
        <f>IF('DOE25'!H665+'DOE25'!H670=0,0,ROUND('DOE25'!H672,0))</f>
        <v>14579</v>
      </c>
    </row>
    <row r="7" spans="1:4" x14ac:dyDescent="0.2">
      <c r="B7" t="s">
        <v>705</v>
      </c>
      <c r="C7" s="179">
        <f>IF('DOE25'!I665+'DOE25'!I670=0,0,ROUND('DOE25'!I672,0))</f>
        <v>14986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27523186</v>
      </c>
      <c r="D10" s="182">
        <f>ROUND((C10/$C$28)*100,1)</f>
        <v>40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14281427</v>
      </c>
      <c r="D11" s="182">
        <f>ROUND((C11/$C$28)*100,1)</f>
        <v>20.7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90436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1713134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5987897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1976088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2490327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3242951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890800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6119396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3396363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89714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798508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12711.77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278523.81000000006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68891462.579999998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1206902</v>
      </c>
    </row>
    <row r="30" spans="1:4" x14ac:dyDescent="0.2">
      <c r="B30" s="187" t="s">
        <v>729</v>
      </c>
      <c r="C30" s="180">
        <f>SUM(C28:C29)</f>
        <v>70098364.579999998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2115000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47066055</v>
      </c>
      <c r="D35" s="182">
        <f t="shared" ref="D35:D40" si="1">ROUND((C35/$C$41)*100,1)</f>
        <v>67.8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1154358.2199999988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18242856</v>
      </c>
      <c r="D37" s="182">
        <f t="shared" si="1"/>
        <v>26.3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900471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2029110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69392850.219999999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Londonderry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2016-08-29T12:57:31Z</cp:lastPrinted>
  <dcterms:created xsi:type="dcterms:W3CDTF">1997-12-04T19:04:30Z</dcterms:created>
  <dcterms:modified xsi:type="dcterms:W3CDTF">2016-11-30T16:31:24Z</dcterms:modified>
</cp:coreProperties>
</file>