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F662" i="1" s="1"/>
  <c r="I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C121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H460" i="1"/>
  <c r="I460" i="1"/>
  <c r="G461" i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J636" i="1" s="1"/>
  <c r="H637" i="1"/>
  <c r="H638" i="1"/>
  <c r="G640" i="1"/>
  <c r="H640" i="1"/>
  <c r="G641" i="1"/>
  <c r="H641" i="1"/>
  <c r="G643" i="1"/>
  <c r="H643" i="1"/>
  <c r="G644" i="1"/>
  <c r="H645" i="1"/>
  <c r="G650" i="1"/>
  <c r="G651" i="1"/>
  <c r="G652" i="1"/>
  <c r="H652" i="1"/>
  <c r="G653" i="1"/>
  <c r="H653" i="1"/>
  <c r="G654" i="1"/>
  <c r="H654" i="1"/>
  <c r="H655" i="1"/>
  <c r="J655" i="1" s="1"/>
  <c r="L256" i="1"/>
  <c r="K257" i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7" i="13"/>
  <c r="C17" i="13" s="1"/>
  <c r="D6" i="13"/>
  <c r="C6" i="13" s="1"/>
  <c r="E8" i="13"/>
  <c r="C8" i="13" s="1"/>
  <c r="C91" i="2"/>
  <c r="F78" i="2"/>
  <c r="F81" i="2" s="1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F112" i="1"/>
  <c r="J641" i="1"/>
  <c r="J571" i="1"/>
  <c r="K571" i="1"/>
  <c r="L433" i="1"/>
  <c r="L419" i="1"/>
  <c r="D81" i="2"/>
  <c r="I169" i="1"/>
  <c r="G552" i="1"/>
  <c r="J643" i="1"/>
  <c r="J476" i="1"/>
  <c r="H626" i="1" s="1"/>
  <c r="I476" i="1"/>
  <c r="H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I545" i="1"/>
  <c r="G36" i="2"/>
  <c r="L565" i="1"/>
  <c r="H545" i="1"/>
  <c r="K551" i="1"/>
  <c r="C22" i="13"/>
  <c r="C138" i="2"/>
  <c r="C16" i="13"/>
  <c r="G545" i="1" l="1"/>
  <c r="L524" i="1"/>
  <c r="L545" i="1" s="1"/>
  <c r="K552" i="1"/>
  <c r="A13" i="12"/>
  <c r="L427" i="1"/>
  <c r="L434" i="1" s="1"/>
  <c r="G638" i="1" s="1"/>
  <c r="J638" i="1" s="1"/>
  <c r="J634" i="1"/>
  <c r="G645" i="1"/>
  <c r="J645" i="1" s="1"/>
  <c r="F476" i="1"/>
  <c r="H622" i="1" s="1"/>
  <c r="J622" i="1" s="1"/>
  <c r="K271" i="1"/>
  <c r="H33" i="13"/>
  <c r="C123" i="2"/>
  <c r="G649" i="1"/>
  <c r="J649" i="1" s="1"/>
  <c r="H647" i="1"/>
  <c r="J647" i="1" s="1"/>
  <c r="D15" i="13"/>
  <c r="C15" i="13" s="1"/>
  <c r="C124" i="2"/>
  <c r="C119" i="2"/>
  <c r="C128" i="2" s="1"/>
  <c r="H257" i="1"/>
  <c r="H271" i="1" s="1"/>
  <c r="E33" i="13"/>
  <c r="D35" i="13" s="1"/>
  <c r="D7" i="13"/>
  <c r="C7" i="13" s="1"/>
  <c r="H660" i="1"/>
  <c r="C10" i="10"/>
  <c r="C115" i="2"/>
  <c r="C11" i="10"/>
  <c r="F257" i="1"/>
  <c r="F271" i="1" s="1"/>
  <c r="L211" i="1"/>
  <c r="L257" i="1" s="1"/>
  <c r="L271" i="1" s="1"/>
  <c r="G632" i="1" s="1"/>
  <c r="J632" i="1" s="1"/>
  <c r="J625" i="1"/>
  <c r="D127" i="2"/>
  <c r="D128" i="2" s="1"/>
  <c r="H661" i="1"/>
  <c r="H664" i="1" s="1"/>
  <c r="G661" i="1"/>
  <c r="I661" i="1" s="1"/>
  <c r="D145" i="2"/>
  <c r="L362" i="1"/>
  <c r="C27" i="10" s="1"/>
  <c r="C62" i="2"/>
  <c r="C63" i="2" s="1"/>
  <c r="I52" i="1"/>
  <c r="H620" i="1" s="1"/>
  <c r="J620" i="1" s="1"/>
  <c r="H52" i="1"/>
  <c r="H619" i="1" s="1"/>
  <c r="J619" i="1" s="1"/>
  <c r="F461" i="1"/>
  <c r="H639" i="1" s="1"/>
  <c r="J639" i="1" s="1"/>
  <c r="I452" i="1"/>
  <c r="I461" i="1" s="1"/>
  <c r="H642" i="1" s="1"/>
  <c r="J642" i="1" s="1"/>
  <c r="I446" i="1"/>
  <c r="G642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G635" i="1"/>
  <c r="J635" i="1" s="1"/>
  <c r="H646" i="1" l="1"/>
  <c r="G104" i="2"/>
  <c r="C145" i="2"/>
  <c r="C28" i="10"/>
  <c r="D24" i="10" s="1"/>
  <c r="F660" i="1"/>
  <c r="H672" i="1"/>
  <c r="C6" i="10" s="1"/>
  <c r="H667" i="1"/>
  <c r="G664" i="1"/>
  <c r="C104" i="2"/>
  <c r="F51" i="2"/>
  <c r="G51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D10" i="10"/>
  <c r="C30" i="10"/>
  <c r="D26" i="10"/>
  <c r="D16" i="10"/>
  <c r="D13" i="10"/>
  <c r="D21" i="10"/>
  <c r="D11" i="10"/>
  <c r="D22" i="10"/>
  <c r="D20" i="10"/>
  <c r="D15" i="10"/>
  <c r="D25" i="10"/>
  <c r="D19" i="10"/>
  <c r="D27" i="10"/>
  <c r="D18" i="10"/>
  <c r="D17" i="10"/>
  <c r="D12" i="10"/>
  <c r="F664" i="1"/>
  <c r="I660" i="1"/>
  <c r="I664" i="1" s="1"/>
  <c r="I672" i="1" s="1"/>
  <c r="C7" i="10" s="1"/>
  <c r="G667" i="1"/>
  <c r="G672" i="1"/>
  <c r="C5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<sst xmlns="http://schemas.openxmlformats.org/spreadsheetml/2006/main" count="3957" uniqueCount="915">
  <si>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</si>
  <si>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</si>
  <si>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</si>
  <si>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</si>
  <si>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</si>
  <si>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</si>
  <si>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</si>
  <si>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</si>
  <si>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</si>
  <si>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</si>
  <si>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</si>
  <si>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</si>
  <si>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</si>
  <si>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</si>
  <si>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</si>
  <si>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</si>
  <si>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</si>
  <si>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</si>
  <si>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</si>
  <si>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</si>
  <si>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</si>
  <si>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</si>
  <si>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</si>
  <si>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</si>
  <si>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</si>
  <si>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</si>
  <si>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</si>
  <si>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</si>
  <si>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</si>
  <si>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</si>
  <si>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</si>
  <si>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</si>
  <si>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</si>
  <si>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</si>
  <si>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</si>
  <si>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</si>
  <si>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</si>
  <si>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</si>
  <si>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</si>
  <si>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</si>
  <si>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</si>
  <si>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</si>
  <si>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</si>
  <si>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</si>
  <si>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</si>
  <si>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</si>
  <si>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</si>
  <si>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</si>
  <si>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</si>
  <si>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</si>
  <si>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</si>
  <si>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</si>
  <si>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</si>
  <si>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</si>
  <si>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</si>
  <si>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</si>
  <si>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</si>
  <si>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</si>
  <si>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</si>
  <si>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</si>
  <si>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</si>
  <si>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</si>
  <si>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</si>
  <si>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</si>
  <si>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</si>
  <si>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</si>
  <si>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</si>
  <si>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</si>
  <si>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</si>
  <si>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</si>
  <si>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</si>
  <si>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</si>
  <si>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</si>
  <si>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</si>
  <si>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</si>
  <si>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</si>
  <si>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</si>
  <si>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</si>
  <si>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</si>
  <si>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</si>
  <si>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</si>
  <si>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</si>
  <si>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</si>
  <si>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</si>
  <si>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</si>
  <si>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</si>
  <si>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</si>
  <si>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</si>
  <si>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</si>
  <si>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</si>
  <si>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</si>
  <si>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</si>
  <si>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</si>
  <si>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</si>
  <si>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</si>
  <si>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</si>
  <si>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</si>
  <si>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</si>
  <si>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</si>
  <si>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</si>
  <si>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</si>
  <si>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</si>
  <si>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</si>
  <si>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</si>
  <si>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</si>
  <si>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</si>
  <si>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</si>
  <si>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</si>
  <si>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</si>
  <si>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</si>
  <si>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</si>
  <si>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</si>
  <si>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</si>
  <si>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</si>
  <si>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</si>
  <si>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</si>
  <si>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</si>
  <si>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</si>
  <si>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</si>
  <si>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</si>
  <si>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</si>
  <si>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</si>
  <si>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</si>
  <si>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</si>
  <si>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</si>
  <si>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</si>
  <si>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</si>
  <si>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</si>
  <si>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</si>
  <si>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</si>
  <si>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</si>
  <si>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</si>
  <si>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</si>
  <si>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</si>
  <si>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</si>
  <si>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</si>
  <si>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</si>
  <si>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</si>
  <si>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</si>
  <si>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</si>
  <si>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</si>
  <si>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</si>
  <si>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</si>
  <si>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</si>
  <si>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</si>
  <si>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</si>
  <si>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</si>
  <si>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</si>
  <si>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</si>
  <si>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</si>
  <si>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</si>
  <si>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</si>
  <si>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</si>
  <si>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</si>
  <si>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</si>
  <si>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</si>
  <si>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</si>
  <si>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</si>
  <si>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</si>
  <si>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</si>
  <si>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</si>
  <si>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</si>
  <si>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</si>
  <si>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</si>
  <si>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</si>
  <si>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</si>
  <si>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</si>
  <si>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</si>
  <si>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</si>
  <si>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</si>
  <si>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</si>
  <si>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</si>
  <si>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</si>
  <si>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</si>
  <si>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</si>
  <si>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</si>
  <si>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</si>
  <si>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</si>
  <si>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</si>
  <si>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</si>
  <si>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</si>
  <si>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</si>
  <si>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</si>
  <si>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</si>
  <si>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</si>
  <si>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</si>
  <si>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</si>
  <si>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</si>
  <si>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</si>
  <si>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</si>
  <si>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</si>
  <si>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</si>
  <si>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</si>
  <si>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</si>
  <si>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</si>
  <si>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</si>
  <si>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</si>
  <si>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</si>
  <si>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</si>
  <si>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</si>
  <si>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</si>
  <si>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</si>
  <si>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</si>
  <si>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</si>
  <si>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</si>
  <si>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</si>
  <si>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</si>
  <si>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</si>
  <si>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</si>
  <si>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</si>
  <si>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</si>
  <si>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</si>
  <si>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</si>
  <si>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</si>
  <si>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</si>
  <si>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</si>
  <si>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</si>
  <si>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</si>
  <si>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</si>
  <si>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</si>
  <si>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</si>
  <si>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</si>
  <si>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</si>
  <si>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</si>
  <si>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</si>
  <si>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</si>
  <si>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</si>
  <si>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</si>
  <si>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</si>
  <si>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</si>
  <si>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</si>
  <si>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</si>
  <si>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</si>
  <si>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</si>
  <si>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</si>
  <si>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</si>
  <si>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</si>
  <si>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</si>
  <si>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</si>
  <si>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</si>
  <si>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</si>
  <si>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</si>
  <si>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</si>
  <si>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</si>
  <si>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</si>
  <si>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</si>
  <si>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</si>
  <si>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</si>
  <si>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</si>
  <si>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</si>
  <si>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</si>
  <si>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</si>
  <si>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</si>
  <si>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</si>
  <si>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</si>
  <si>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</si>
  <si>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</si>
  <si>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</si>
  <si>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</si>
  <si>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</si>
  <si>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</si>
  <si>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</si>
  <si>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</si>
  <si>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</si>
  <si>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</si>
  <si>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</si>
  <si>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</si>
  <si>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</si>
  <si>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</si>
  <si>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</si>
  <si>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</si>
  <si>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</si>
  <si>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</si>
  <si>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</si>
  <si>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</si>
  <si>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</si>
  <si>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</si>
  <si>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</si>
  <si>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</si>
  <si>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</si>
  <si>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</si>
  <si>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</si>
  <si>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</si>
  <si>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</si>
  <si>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</si>
  <si>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</si>
  <si>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</si>
  <si>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</si>
  <si>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</si>
  <si>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</si>
  <si>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</si>
  <si>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</si>
  <si>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</si>
  <si>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</si>
  <si>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</si>
  <si>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</si>
  <si>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</si>
  <si>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</si>
  <si>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</si>
  <si>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</si>
  <si>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</si>
  <si>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</si>
  <si>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</si>
  <si>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</si>
  <si>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</si>
  <si>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</si>
  <si>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</si>
  <si>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</si>
  <si>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</si>
  <si>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</si>
  <si>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</si>
  <si>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</si>
  <si>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</si>
  <si>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</si>
  <si>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</si>
  <si>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</si>
  <si>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</si>
  <si>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</si>
  <si>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</si>
  <si>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</si>
  <si>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</si>
  <si>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</si>
  <si>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</si>
  <si>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</si>
  <si>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</si>
  <si>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</si>
  <si>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</si>
  <si>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</si>
  <si>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</si>
  <si>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</si>
  <si>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</si>
  <si>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</si>
  <si>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</si>
  <si>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</si>
  <si>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</si>
  <si>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</si>
  <si>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</si>
  <si>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</si>
  <si>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</si>
  <si>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</si>
  <si>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</si>
  <si>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</si>
  <si>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</si>
  <si>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</si>
  <si>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</si>
  <si>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</si>
  <si>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</si>
  <si>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</si>
  <si>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</si>
  <si>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</si>
  <si>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</si>
  <si>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</si>
  <si>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</si>
  <si>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</si>
  <si>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</si>
  <si>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</si>
  <si>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</si>
  <si>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</si>
  <si>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</si>
  <si>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</si>
  <si>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</si>
  <si>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</si>
  <si>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</si>
  <si>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</si>
  <si>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</si>
  <si>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</si>
  <si>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</si>
  <si>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</si>
  <si>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</si>
  <si>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</si>
  <si>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</si>
  <si>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</si>
  <si>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</si>
  <si>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</si>
  <si>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</si>
  <si>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</si>
  <si>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</si>
  <si>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</si>
  <si>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</si>
  <si>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</si>
  <si>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</si>
  <si>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</si>
  <si>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</si>
  <si>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</si>
  <si>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</si>
  <si>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</si>
  <si>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</si>
  <si>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</si>
  <si>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</si>
  <si>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</si>
  <si>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</si>
  <si>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</si>
  <si>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</si>
  <si>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</si>
  <si>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</si>
  <si>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</si>
  <si>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</si>
  <si>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</si>
  <si>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</si>
  <si>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</si>
  <si>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</si>
  <si>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</si>
  <si>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</si>
  <si>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</si>
  <si>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</si>
  <si>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</si>
  <si>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</si>
  <si>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</si>
  <si>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</si>
  <si>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</si>
  <si>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</si>
  <si>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</si>
  <si>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</si>
  <si>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</si>
  <si>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</si>
  <si>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</si>
  <si>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</si>
  <si>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</si>
  <si>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</si>
  <si>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</si>
  <si>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</si>
  <si>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</si>
  <si>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</si>
  <si>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</si>
  <si>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</si>
  <si>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</si>
  <si>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</si>
  <si>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</si>
  <si>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</si>
  <si>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</si>
  <si>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</si>
  <si>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</si>
  <si>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</si>
  <si>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</si>
  <si>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</si>
  <si>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</si>
  <si>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</si>
  <si>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</si>
  <si>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</si>
  <si>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</si>
  <si>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</si>
  <si>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</si>
  <si>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</si>
  <si>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</si>
  <si>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</si>
  <si>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</si>
  <si>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</si>
  <si>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</si>
  <si>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</si>
  <si>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</si>
  <si>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</si>
  <si>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</si>
  <si>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</si>
  <si>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</si>
  <si>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</si>
  <si>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</si>
  <si>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</si>
  <si>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</si>
  <si>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</si>
  <si>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</si>
  <si>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</si>
  <si>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</si>
  <si>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</si>
  <si>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</si>
  <si>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</si>
  <si>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</si>
  <si>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</si>
  <si>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</si>
  <si>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</si>
  <si>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</si>
  <si>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</si>
  <si>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</si>
  <si>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</si>
  <si>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</si>
  <si>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</si>
  <si>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</si>
  <si>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</si>
  <si>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</si>
  <si>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</si>
  <si>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</si>
  <si>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</si>
  <si>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</si>
  <si>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</si>
  <si>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</si>
  <si>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</si>
  <si>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</si>
  <si>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</si>
  <si>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</si>
  <si>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</si>
  <si>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</si>
  <si>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</si>
  <si>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</si>
  <si>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</si>
  <si>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</si>
  <si>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</si>
  <si>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</si>
  <si>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</si>
  <si>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</si>
  <si>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</si>
  <si>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</si>
  <si>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</si>
  <si>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</si>
  <si>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</si>
  <si>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</si>
  <si>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</si>
  <si>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</si>
  <si>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</si>
  <si>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</si>
  <si>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</si>
  <si>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</si>
  <si>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</si>
  <si>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</si>
  <si>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</si>
  <si>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</si>
  <si>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</si>
  <si>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</si>
  <si>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</si>
  <si>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</si>
  <si>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</si>
  <si>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</si>
  <si>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</si>
  <si>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</si>
  <si>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</si>
  <si>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</si>
  <si>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</si>
  <si>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</si>
  <si>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</si>
  <si>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</si>
  <si>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</si>
  <si>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</si>
  <si>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</si>
  <si>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</si>
  <si>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</si>
  <si>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</si>
  <si>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</si>
  <si>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</si>
  <si>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</si>
  <si>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</si>
  <si>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</si>
  <si>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</si>
  <si>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</si>
  <si>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</si>
  <si>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</si>
  <si>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</si>
  <si>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</si>
  <si>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</si>
  <si>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</si>
  <si>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</si>
  <si>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</si>
  <si>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</si>
  <si>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</si>
  <si>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</si>
  <si>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</si>
  <si>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</si>
  <si>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</si>
  <si>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</si>
  <si>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</si>
  <si>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</si>
  <si>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</si>
  <si>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</si>
  <si>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</si>
  <si>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</si>
  <si>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</si>
  <si>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</si>
  <si>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</si>
  <si>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</si>
  <si>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</si>
  <si>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</si>
  <si>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</si>
  <si>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</si>
  <si>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</si>
  <si>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</si>
  <si>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</si>
  <si>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</si>
  <si>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</si>
  <si>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</si>
  <si>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</si>
  <si>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</si>
  <si>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</si>
  <si>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</si>
  <si>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</si>
  <si>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</si>
  <si>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</si>
  <si>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</si>
  <si>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</si>
  <si>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</si>
  <si>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</si>
  <si>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</si>
  <si>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</si>
  <si>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</si>
  <si>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</si>
  <si>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</si>
  <si>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</si>
  <si>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</si>
  <si>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</si>
  <si>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</si>
  <si>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</si>
  <si>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</si>
  <si>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</si>
  <si>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</si>
  <si>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</si>
  <si>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</si>
  <si>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</si>
  <si>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</si>
  <si>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</si>
  <si>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</si>
  <si>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</si>
  <si>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</si>
  <si>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</si>
  <si>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</si>
  <si>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</si>
  <si>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</si>
  <si>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</si>
  <si>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</si>
  <si>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</si>
  <si>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</si>
  <si>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</si>
  <si>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</si>
  <si>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</si>
  <si>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</si>
  <si>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</si>
  <si>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</si>
  <si>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</si>
  <si>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</si>
  <si>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</si>
  <si>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</si>
  <si>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</si>
  <si>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</si>
  <si>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</si>
  <si>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</si>
  <si>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</si>
  <si>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</si>
  <si>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</si>
  <si>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</si>
  <si>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</si>
  <si>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</si>
  <si>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</si>
  <si>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</si>
  <si>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</si>
  <si>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</si>
  <si>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</si>
  <si>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</si>
  <si>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</si>
  <si>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</si>
  <si>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</si>
  <si>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</si>
  <si>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</si>
  <si>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</si>
  <si>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</si>
  <si>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</si>
  <si>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</si>
  <si>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</si>
  <si>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</si>
  <si>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</si>
  <si>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</si>
  <si>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</si>
  <si>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</si>
  <si>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</si>
  <si>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</si>
  <si>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</si>
  <si>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</si>
  <si>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</si>
  <si>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</si>
  <si>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</si>
  <si>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</si>
  <si>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</si>
  <si>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</si>
  <si>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</si>
  <si>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</si>
  <si>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</si>
  <si>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</si>
  <si>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</si>
  <si>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</si>
  <si>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</si>
  <si>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</si>
  <si>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</si>
  <si>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</si>
  <si>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</si>
  <si>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</si>
  <si>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</si>
  <si>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</si>
  <si>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</si>
  <si>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</si>
  <si>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</si>
  <si>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</si>
  <si>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</si>
  <si>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</si>
  <si>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</si>
  <si>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</si>
  <si>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</si>
  <si>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</si>
  <si>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</si>
  <si>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</si>
  <si>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</si>
  <si>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</si>
  <si>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</si>
  <si>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</si>
  <si>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</si>
  <si>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</si>
  <si>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</si>
  <si>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</si>
  <si>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</si>
  <si>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</si>
  <si>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</si>
  <si>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</si>
  <si>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</si>
  <si>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</si>
  <si>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</si>
  <si>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</si>
  <si>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</si>
  <si>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</si>
  <si>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</si>
  <si>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</si>
  <si>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</si>
  <si>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</si>
  <si>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</si>
  <si>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</si>
  <si>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</si>
  <si>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</si>
  <si>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</si>
  <si>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</si>
  <si>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</si>
  <si>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</si>
  <si>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</si>
  <si>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</si>
  <si>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</si>
  <si>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</si>
  <si>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</si>
  <si>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</si>
  <si>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</si>
  <si>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</si>
  <si>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</si>
  <si>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</si>
  <si>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</si>
  <si>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</si>
  <si>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</si>
  <si>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</si>
  <si>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</si>
  <si>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</si>
  <si>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</si>
  <si>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</si>
  <si>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</si>
  <si>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</si>
  <si>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</si>
  <si>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</si>
  <si>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</si>
  <si>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</si>
  <si>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</si>
  <si>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</si>
  <si>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</si>
  <si>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</si>
  <si>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</si>
  <si>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</si>
  <si>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</si>
  <si>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</si>
  <si>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</si>
  <si>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</si>
  <si>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</si>
  <si>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</si>
  <si>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</si>
  <si>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</si>
  <si>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</si>
  <si>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</si>
  <si>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</si>
  <si>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</si>
  <si>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</si>
  <si>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</si>
  <si>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</si>
  <si>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</si>
  <si>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</si>
  <si>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</si>
  <si>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</si>
  <si>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</si>
  <si>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</si>
  <si>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</si>
  <si>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</si>
  <si>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</si>
  <si>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</si>
  <si>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</si>
  <si>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</si>
  <si>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</si>
  <si>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</si>
  <si>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</si>
  <si>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</si>
  <si>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</si>
  <si>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</si>
  <si>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</si>
  <si>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</si>
  <si>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</si>
  <si>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</si>
  <si>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</si>
  <si>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</si>
  <si>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</si>
  <si>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</si>
  <si>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</si>
  <si>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</si>
  <si>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</si>
  <si>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</si>
  <si>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</si>
  <si>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</si>
  <si>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</si>
  <si>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</si>
  <si>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</si>
  <si>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</si>
  <si>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</si>
  <si>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</si>
  <si>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</si>
  <si>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</si>
  <si>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</si>
  <si>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</si>
  <si>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</si>
  <si>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</si>
  <si>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</si>
  <si>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</si>
  <si>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</si>
  <si>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</si>
  <si>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</si>
  <si>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</si>
  <si>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</si>
  <si>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</si>
  <si>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</si>
  <si>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</si>
  <si>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</si>
  <si>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</si>
  <si>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</si>
  <si>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</si>
  <si>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</si>
  <si>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</si>
  <si>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</si>
  <si>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</si>
  <si>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</si>
  <si>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</si>
  <si>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</si>
  <si>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</si>
  <si>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</si>
  <si>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</si>
  <si>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</si>
  <si>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</si>
  <si>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</si>
  <si>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</si>
  <si>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</si>
  <si>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</si>
  <si>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</si>
  <si>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</si>
  <si>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</si>
  <si>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</si>
  <si>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</si>
  <si>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</si>
  <si>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</si>
  <si>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</si>
  <si>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</si>
  <si>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</si>
  <si>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</si>
  <si>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</si>
  <si>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</si>
  <si>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</si>
  <si>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</si>
  <si>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</si>
  <si>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</si>
  <si>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</si>
  <si>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</si>
  <si>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</si>
  <si>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</si>
  <si>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</si>
  <si>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</si>
  <si>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</si>
  <si>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</si>
  <si>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</si>
  <si>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</si>
  <si>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</si>
  <si>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</si>
  <si>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</si>
  <si>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</si>
  <si>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</si>
  <si>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</si>
  <si>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</si>
  <si>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</si>
  <si>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</si>
  <si>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</si>
  <si>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</si>
  <si>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</si>
  <si>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</si>
  <si>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</si>
  <si>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</si>
  <si>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</si>
  <si>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</si>
  <si>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</si>
  <si>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</si>
  <si>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</si>
  <si>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</si>
  <si>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</si>
  <si>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</si>
  <si>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</si>
  <si>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</si>
  <si>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</si>
  <si>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</si>
  <si>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</si>
  <si>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</si>
  <si>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</si>
  <si>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</si>
  <si>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</si>
  <si>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</si>
  <si>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</si>
  <si>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</si>
  <si>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</si>
  <si>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</si>
  <si>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</si>
  <si>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</si>
  <si>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</si>
  <si>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</si>
  <si>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</si>
  <si>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</si>
  <si>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Lyme School District</t>
  </si>
  <si>
    <t>8/2014</t>
  </si>
  <si>
    <t>08/34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</si>
</sst>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327</v>
      </c>
      <c r="C2" s="21">
        <v>327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175203.36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20000</v>
      </c>
      <c r="G12" s="18"/>
      <c r="H12" s="18"/>
      <c r="I12" s="18">
        <v>47628.98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847965.37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481.7</v>
      </c>
      <c r="H14" s="18">
        <v>125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2500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197703.36</v>
      </c>
      <c r="G19" s="41">
        <f>SUM(G9:G18)</f>
        <v>481.7</v>
      </c>
      <c r="H19" s="41">
        <f>SUM(H9:H18)</f>
        <v>125</v>
      </c>
      <c r="I19" s="41">
        <f>SUM(I9:I18)</f>
        <v>47628.98</v>
      </c>
      <c r="J19" s="41">
        <f>SUM(J9:J18)</f>
        <v>847965.37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47299.82</v>
      </c>
      <c r="G22" s="18">
        <v>204.16</v>
      </c>
      <c r="H22" s="18">
        <v>125</v>
      </c>
      <c r="I22" s="18"/>
      <c r="J22" s="67">
        <f>SUM(I448)</f>
        <v>20000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36895.61</v>
      </c>
      <c r="G24" s="18">
        <v>277.54000000000002</v>
      </c>
      <c r="H24" s="18"/>
      <c r="I24" s="18">
        <v>2538.61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4046.54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88241.969999999987</v>
      </c>
      <c r="G32" s="41">
        <f>SUM(G22:G31)</f>
        <v>481.70000000000005</v>
      </c>
      <c r="H32" s="41">
        <f>SUM(H22:H31)</f>
        <v>125</v>
      </c>
      <c r="I32" s="41">
        <f>SUM(I22:I31)</f>
        <v>2538.61</v>
      </c>
      <c r="J32" s="41">
        <f>SUM(J22:J31)</f>
        <v>20000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25090.37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>
        <v>20000</v>
      </c>
      <c r="J43" s="13">
        <f>SUM(I456)</f>
        <v>827965.37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101207.8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7204.59</v>
      </c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1049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109461.39</v>
      </c>
      <c r="G51" s="41">
        <f>SUM(G35:G50)</f>
        <v>0</v>
      </c>
      <c r="H51" s="41">
        <f>SUM(H35:H50)</f>
        <v>0</v>
      </c>
      <c r="I51" s="41">
        <f>SUM(I35:I50)</f>
        <v>45090.369999999995</v>
      </c>
      <c r="J51" s="41">
        <f>SUM(J35:J50)</f>
        <v>827965.37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197703.36</v>
      </c>
      <c r="G52" s="41">
        <f>G51+G32</f>
        <v>481.70000000000005</v>
      </c>
      <c r="H52" s="41">
        <f>H51+H32</f>
        <v>125</v>
      </c>
      <c r="I52" s="41">
        <f>I51+I32</f>
        <v>47628.979999999996</v>
      </c>
      <c r="J52" s="41">
        <f>J51+J32</f>
        <v>847965.37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4616513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4616513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3406.24</v>
      </c>
      <c r="G96" s="18"/>
      <c r="H96" s="18"/>
      <c r="I96" s="18"/>
      <c r="J96" s="18">
        <v>2228.98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64329.62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24026.81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27533.050000000003</v>
      </c>
      <c r="G111" s="41">
        <f>SUM(G96:G110)</f>
        <v>64329.62</v>
      </c>
      <c r="H111" s="41">
        <f>SUM(H96:H110)</f>
        <v>0</v>
      </c>
      <c r="I111" s="41">
        <f>SUM(I96:I110)</f>
        <v>0</v>
      </c>
      <c r="J111" s="41">
        <f>SUM(J96:J110)</f>
        <v>2228.98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4644046.05</v>
      </c>
      <c r="G112" s="41">
        <f>G60+G111</f>
        <v>64329.62</v>
      </c>
      <c r="H112" s="41">
        <f>H60+H79+H94+H111</f>
        <v>0</v>
      </c>
      <c r="I112" s="41">
        <f>I60+I111</f>
        <v>0</v>
      </c>
      <c r="J112" s="41">
        <f>J60+J111</f>
        <v>2228.98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287108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794962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1082070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16261.93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7500.46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832.18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23762.39</v>
      </c>
      <c r="G136" s="41">
        <f>SUM(G123:G135)</f>
        <v>832.18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1105832.3899999999</v>
      </c>
      <c r="G140" s="41">
        <f>G121+SUM(G136:G137)</f>
        <v>832.18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370.25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12350.36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15060.58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45818.92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15060.58</v>
      </c>
      <c r="H162" s="41">
        <f>SUM(H150:H161)</f>
        <v>58539.53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474.17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474.17</v>
      </c>
      <c r="G169" s="41">
        <f>G147+G162+SUM(G163:G168)</f>
        <v>15060.58</v>
      </c>
      <c r="H169" s="41">
        <f>H147+H162+SUM(H163:H168)</f>
        <v>58539.53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16724.38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16724.38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100292.11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120292.11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120292.11</v>
      </c>
      <c r="G192" s="41">
        <f>G183+SUM(G188:G191)</f>
        <v>16724.38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5870644.7199999997</v>
      </c>
      <c r="G193" s="47">
        <f>G112+G140+G169+G192</f>
        <v>96946.760000000009</v>
      </c>
      <c r="H193" s="47">
        <f>H112+H140+H169+H192</f>
        <v>58539.53</v>
      </c>
      <c r="I193" s="47">
        <f>I112+I140+I169+I192</f>
        <v>0</v>
      </c>
      <c r="J193" s="47">
        <f>J112+J140+J192</f>
        <v>52228.98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1314665.5900000001</v>
      </c>
      <c r="G197" s="18">
        <v>576828.81000000006</v>
      </c>
      <c r="H197" s="18">
        <v>31092.33</v>
      </c>
      <c r="I197" s="18">
        <v>58310.74</v>
      </c>
      <c r="J197" s="18">
        <v>30563.71</v>
      </c>
      <c r="K197" s="18"/>
      <c r="L197" s="19">
        <f>SUM(F197:K197)</f>
        <v>2011461.1800000002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407658</v>
      </c>
      <c r="G198" s="18">
        <v>151890.09</v>
      </c>
      <c r="H198" s="18">
        <v>14960.57</v>
      </c>
      <c r="I198" s="18">
        <v>3862.41</v>
      </c>
      <c r="J198" s="18">
        <v>3238.39</v>
      </c>
      <c r="K198" s="18"/>
      <c r="L198" s="19">
        <f>SUM(F198:K198)</f>
        <v>581609.46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85847.96</v>
      </c>
      <c r="G202" s="18">
        <v>27901.5</v>
      </c>
      <c r="H202" s="18">
        <v>96155.09</v>
      </c>
      <c r="I202" s="18">
        <v>979.6</v>
      </c>
      <c r="J202" s="18">
        <v>166.25</v>
      </c>
      <c r="K202" s="18"/>
      <c r="L202" s="19">
        <f t="shared" ref="L202:L208" si="0">SUM(F202:K202)</f>
        <v>211050.4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45087.29</v>
      </c>
      <c r="G203" s="18">
        <v>32165.98</v>
      </c>
      <c r="H203" s="18">
        <v>6815</v>
      </c>
      <c r="I203" s="18">
        <v>794</v>
      </c>
      <c r="J203" s="18"/>
      <c r="K203" s="18"/>
      <c r="L203" s="19">
        <f t="shared" si="0"/>
        <v>84862.27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177683.21</v>
      </c>
      <c r="G204" s="18">
        <v>47718.48</v>
      </c>
      <c r="H204" s="18">
        <v>31952.26</v>
      </c>
      <c r="I204" s="18">
        <v>6110.02</v>
      </c>
      <c r="J204" s="18">
        <v>930.35</v>
      </c>
      <c r="K204" s="18">
        <v>4154.51</v>
      </c>
      <c r="L204" s="19">
        <f t="shared" si="0"/>
        <v>268548.83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161087.48000000001</v>
      </c>
      <c r="G205" s="18">
        <v>67316.89</v>
      </c>
      <c r="H205" s="18">
        <v>9045.18</v>
      </c>
      <c r="I205" s="18">
        <v>1037.25</v>
      </c>
      <c r="J205" s="18"/>
      <c r="K205" s="18"/>
      <c r="L205" s="19">
        <f t="shared" si="0"/>
        <v>238486.8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79288.58</v>
      </c>
      <c r="G207" s="18">
        <v>49948.15</v>
      </c>
      <c r="H207" s="18">
        <v>60134.51</v>
      </c>
      <c r="I207" s="18">
        <v>67187.070000000007</v>
      </c>
      <c r="J207" s="18">
        <v>3013.69</v>
      </c>
      <c r="K207" s="18"/>
      <c r="L207" s="19">
        <f t="shared" si="0"/>
        <v>259572.00000000003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3315.81</v>
      </c>
      <c r="G208" s="18">
        <v>242.33</v>
      </c>
      <c r="H208" s="18">
        <v>111348.63</v>
      </c>
      <c r="I208" s="18">
        <v>1288.74</v>
      </c>
      <c r="J208" s="18"/>
      <c r="K208" s="18"/>
      <c r="L208" s="19">
        <f t="shared" si="0"/>
        <v>116195.51000000001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2274633.9200000004</v>
      </c>
      <c r="G211" s="41">
        <f t="shared" si="1"/>
        <v>954012.23</v>
      </c>
      <c r="H211" s="41">
        <f t="shared" si="1"/>
        <v>361503.57</v>
      </c>
      <c r="I211" s="41">
        <f t="shared" si="1"/>
        <v>139569.82999999999</v>
      </c>
      <c r="J211" s="41">
        <f t="shared" si="1"/>
        <v>37912.39</v>
      </c>
      <c r="K211" s="41">
        <f t="shared" si="1"/>
        <v>4154.51</v>
      </c>
      <c r="L211" s="41">
        <f t="shared" si="1"/>
        <v>3771786.45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1537641.01</v>
      </c>
      <c r="I233" s="18"/>
      <c r="J233" s="18"/>
      <c r="K233" s="18"/>
      <c r="L233" s="19">
        <f>SUM(F233:K233)</f>
        <v>1537641.01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40099.949999999997</v>
      </c>
      <c r="G234" s="18">
        <v>20642.63</v>
      </c>
      <c r="H234" s="18">
        <v>290244.24</v>
      </c>
      <c r="I234" s="18"/>
      <c r="J234" s="18"/>
      <c r="K234" s="18"/>
      <c r="L234" s="19">
        <f>SUM(F234:K234)</f>
        <v>350986.82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40099.949999999997</v>
      </c>
      <c r="G247" s="41">
        <f t="shared" si="5"/>
        <v>20642.63</v>
      </c>
      <c r="H247" s="41">
        <f t="shared" si="5"/>
        <v>1827885.25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1888627.83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2314733.8700000006</v>
      </c>
      <c r="G257" s="41">
        <f t="shared" si="8"/>
        <v>974654.86</v>
      </c>
      <c r="H257" s="41">
        <f t="shared" si="8"/>
        <v>2189388.8199999998</v>
      </c>
      <c r="I257" s="41">
        <f t="shared" si="8"/>
        <v>139569.82999999999</v>
      </c>
      <c r="J257" s="41">
        <f t="shared" si="8"/>
        <v>37912.39</v>
      </c>
      <c r="K257" s="41">
        <f t="shared" si="8"/>
        <v>4154.51</v>
      </c>
      <c r="L257" s="41">
        <f t="shared" si="8"/>
        <v>5660414.2800000003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77500</v>
      </c>
      <c r="L260" s="19">
        <f>SUM(F260:K260)</f>
        <v>77500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113736.25</v>
      </c>
      <c r="L261" s="19">
        <f>SUM(F261:K261)</f>
        <v>113736.25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16724.38</v>
      </c>
      <c r="L263" s="19">
        <f>SUM(F263:K263)</f>
        <v>16724.38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257960.63</v>
      </c>
      <c r="L270" s="41">
        <f t="shared" si="9"/>
        <v>257960.63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2314733.8700000006</v>
      </c>
      <c r="G271" s="42">
        <f t="shared" si="11"/>
        <v>974654.86</v>
      </c>
      <c r="H271" s="42">
        <f t="shared" si="11"/>
        <v>2189388.8199999998</v>
      </c>
      <c r="I271" s="42">
        <f t="shared" si="11"/>
        <v>139569.82999999999</v>
      </c>
      <c r="J271" s="42">
        <f t="shared" si="11"/>
        <v>37912.39</v>
      </c>
      <c r="K271" s="42">
        <f t="shared" si="11"/>
        <v>262115.14</v>
      </c>
      <c r="L271" s="42">
        <f t="shared" si="11"/>
        <v>5918374.9100000001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245.25</v>
      </c>
      <c r="J276" s="18"/>
      <c r="K276" s="18"/>
      <c r="L276" s="19">
        <f>SUM(F276:K276)</f>
        <v>245.25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14191.2</v>
      </c>
      <c r="G277" s="18"/>
      <c r="H277" s="18"/>
      <c r="I277" s="18">
        <v>706.72</v>
      </c>
      <c r="J277" s="18"/>
      <c r="K277" s="18"/>
      <c r="L277" s="19">
        <f>SUM(F277:K277)</f>
        <v>14897.92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899.53</v>
      </c>
      <c r="G281" s="18"/>
      <c r="H281" s="18">
        <v>42496.83</v>
      </c>
      <c r="I281" s="18"/>
      <c r="J281" s="18"/>
      <c r="K281" s="18"/>
      <c r="L281" s="19">
        <f t="shared" ref="L281:L287" si="12">SUM(F281:K281)</f>
        <v>43396.36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15090.730000000001</v>
      </c>
      <c r="G290" s="42">
        <f t="shared" si="13"/>
        <v>0</v>
      </c>
      <c r="H290" s="42">
        <f t="shared" si="13"/>
        <v>42496.83</v>
      </c>
      <c r="I290" s="42">
        <f t="shared" si="13"/>
        <v>951.97</v>
      </c>
      <c r="J290" s="42">
        <f t="shared" si="13"/>
        <v>0</v>
      </c>
      <c r="K290" s="42">
        <f t="shared" si="13"/>
        <v>0</v>
      </c>
      <c r="L290" s="41">
        <f t="shared" si="13"/>
        <v>58539.53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15090.730000000001</v>
      </c>
      <c r="G338" s="41">
        <f t="shared" si="20"/>
        <v>0</v>
      </c>
      <c r="H338" s="41">
        <f t="shared" si="20"/>
        <v>42496.83</v>
      </c>
      <c r="I338" s="41">
        <f t="shared" si="20"/>
        <v>951.97</v>
      </c>
      <c r="J338" s="41">
        <f t="shared" si="20"/>
        <v>0</v>
      </c>
      <c r="K338" s="41">
        <f t="shared" si="20"/>
        <v>0</v>
      </c>
      <c r="L338" s="41">
        <f t="shared" si="20"/>
        <v>58539.53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15090.730000000001</v>
      </c>
      <c r="G352" s="41">
        <f>G338</f>
        <v>0</v>
      </c>
      <c r="H352" s="41">
        <f>H338</f>
        <v>42496.83</v>
      </c>
      <c r="I352" s="41">
        <f>I338</f>
        <v>951.97</v>
      </c>
      <c r="J352" s="41">
        <f>J338</f>
        <v>0</v>
      </c>
      <c r="K352" s="47">
        <f>K338+K351</f>
        <v>0</v>
      </c>
      <c r="L352" s="41">
        <f>L338+L351</f>
        <v>58539.53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35531.64</v>
      </c>
      <c r="G358" s="18">
        <v>15053.35</v>
      </c>
      <c r="H358" s="18"/>
      <c r="I358" s="18">
        <v>46345.93</v>
      </c>
      <c r="J358" s="18">
        <v>15.84</v>
      </c>
      <c r="K358" s="18"/>
      <c r="L358" s="13">
        <f>SUM(F358:K358)</f>
        <v>96946.76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35531.64</v>
      </c>
      <c r="G362" s="47">
        <f t="shared" si="22"/>
        <v>15053.35</v>
      </c>
      <c r="H362" s="47">
        <f t="shared" si="22"/>
        <v>0</v>
      </c>
      <c r="I362" s="47">
        <f t="shared" si="22"/>
        <v>46345.93</v>
      </c>
      <c r="J362" s="47">
        <f t="shared" si="22"/>
        <v>15.84</v>
      </c>
      <c r="K362" s="47">
        <f t="shared" si="22"/>
        <v>0</v>
      </c>
      <c r="L362" s="47">
        <f t="shared" si="22"/>
        <v>96946.76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43029.21</v>
      </c>
      <c r="G367" s="18"/>
      <c r="H367" s="18"/>
      <c r="I367" s="56">
        <f>SUM(F367:H367)</f>
        <v>43029.21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3316.72</v>
      </c>
      <c r="G368" s="63"/>
      <c r="H368" s="63"/>
      <c r="I368" s="56">
        <f>SUM(F368:H368)</f>
        <v>3316.72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46345.93</v>
      </c>
      <c r="G369" s="47">
        <f>SUM(G367:G368)</f>
        <v>0</v>
      </c>
      <c r="H369" s="47">
        <f>SUM(H367:H368)</f>
        <v>0</v>
      </c>
      <c r="I369" s="47">
        <f>SUM(I367:I368)</f>
        <v>46345.93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1485</v>
      </c>
      <c r="G378" s="18">
        <v>113.6</v>
      </c>
      <c r="H378" s="18">
        <v>66797.37</v>
      </c>
      <c r="I378" s="18"/>
      <c r="J378" s="18"/>
      <c r="K378" s="18"/>
      <c r="L378" s="13">
        <f t="shared" si="23"/>
        <v>68395.97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1485</v>
      </c>
      <c r="G382" s="139">
        <f t="shared" ref="G382:L382" si="24">SUM(G374:G381)</f>
        <v>113.6</v>
      </c>
      <c r="H382" s="139">
        <f t="shared" si="24"/>
        <v>66797.37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68395.97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203.6</v>
      </c>
      <c r="I396" s="18"/>
      <c r="J396" s="24" t="s">
        <v>289</v>
      </c>
      <c r="K396" s="24" t="s">
        <v>289</v>
      </c>
      <c r="L396" s="56">
        <f t="shared" si="26"/>
        <v>203.6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604.57000000000005</v>
      </c>
      <c r="I397" s="18"/>
      <c r="J397" s="24" t="s">
        <v>289</v>
      </c>
      <c r="K397" s="24" t="s">
        <v>289</v>
      </c>
      <c r="L397" s="56">
        <f t="shared" si="26"/>
        <v>25604.57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>
        <v>1248.75</v>
      </c>
      <c r="I398" s="18"/>
      <c r="J398" s="24" t="s">
        <v>289</v>
      </c>
      <c r="K398" s="24" t="s">
        <v>289</v>
      </c>
      <c r="L398" s="56">
        <f t="shared" si="26"/>
        <v>26248.75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172.06</v>
      </c>
      <c r="I400" s="18"/>
      <c r="J400" s="24" t="s">
        <v>289</v>
      </c>
      <c r="K400" s="24" t="s">
        <v>289</v>
      </c>
      <c r="L400" s="56">
        <f t="shared" si="26"/>
        <v>172.06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2228.98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52228.979999999996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2228.98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52228.979999999996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36.49</v>
      </c>
      <c r="I422" s="18"/>
      <c r="J422" s="18"/>
      <c r="K422" s="18">
        <v>20000</v>
      </c>
      <c r="L422" s="56">
        <f t="shared" si="29"/>
        <v>20036.490000000002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109.99</v>
      </c>
      <c r="I423" s="18"/>
      <c r="J423" s="18"/>
      <c r="K423" s="18"/>
      <c r="L423" s="56">
        <f t="shared" si="29"/>
        <v>109.99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>
        <v>225.39</v>
      </c>
      <c r="I424" s="18"/>
      <c r="J424" s="18"/>
      <c r="K424" s="18"/>
      <c r="L424" s="56">
        <f t="shared" si="29"/>
        <v>225.39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100292.11</v>
      </c>
      <c r="L426" s="56">
        <f t="shared" si="29"/>
        <v>100292.11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371.87</v>
      </c>
      <c r="I427" s="47">
        <f t="shared" si="30"/>
        <v>0</v>
      </c>
      <c r="J427" s="47">
        <f t="shared" si="30"/>
        <v>0</v>
      </c>
      <c r="K427" s="47">
        <f t="shared" si="30"/>
        <v>120292.11</v>
      </c>
      <c r="L427" s="47">
        <f t="shared" si="30"/>
        <v>120663.98000000001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371.87</v>
      </c>
      <c r="I434" s="47">
        <f t="shared" si="32"/>
        <v>0</v>
      </c>
      <c r="J434" s="47">
        <f t="shared" si="32"/>
        <v>0</v>
      </c>
      <c r="K434" s="47">
        <f t="shared" si="32"/>
        <v>120292.11</v>
      </c>
      <c r="L434" s="47">
        <f t="shared" si="32"/>
        <v>120663.98000000001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847965.37</v>
      </c>
      <c r="G442" s="18"/>
      <c r="H442" s="18"/>
      <c r="I442" s="56">
        <f t="shared" si="33"/>
        <v>847965.37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847965.37</v>
      </c>
      <c r="G446" s="13">
        <f>SUM(G439:G445)</f>
        <v>0</v>
      </c>
      <c r="H446" s="13">
        <f>SUM(H439:H445)</f>
        <v>0</v>
      </c>
      <c r="I446" s="13">
        <f>SUM(I439:I445)</f>
        <v>847965.37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20000</v>
      </c>
      <c r="G448" s="18"/>
      <c r="H448" s="18"/>
      <c r="I448" s="56">
        <f>SUM(F448:H448)</f>
        <v>20000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20000</v>
      </c>
      <c r="G452" s="72">
        <f>SUM(G448:G451)</f>
        <v>0</v>
      </c>
      <c r="H452" s="72">
        <f>SUM(H448:H451)</f>
        <v>0</v>
      </c>
      <c r="I452" s="72">
        <f>SUM(I448:I451)</f>
        <v>20000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827965.37</v>
      </c>
      <c r="G456" s="18"/>
      <c r="H456" s="18"/>
      <c r="I456" s="56">
        <f t="shared" si="34"/>
        <v>827965.37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827965.37</v>
      </c>
      <c r="G460" s="83">
        <f>SUM(G454:G459)</f>
        <v>0</v>
      </c>
      <c r="H460" s="83">
        <f>SUM(H454:H459)</f>
        <v>0</v>
      </c>
      <c r="I460" s="83">
        <f>SUM(I454:I459)</f>
        <v>827965.37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847965.37</v>
      </c>
      <c r="G461" s="42">
        <f>G452+G460</f>
        <v>0</v>
      </c>
      <c r="H461" s="42">
        <f>H452+H460</f>
        <v>0</v>
      </c>
      <c r="I461" s="42">
        <f>I452+I460</f>
        <v>847965.37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157191.57999999999</v>
      </c>
      <c r="G465" s="18">
        <v>0</v>
      </c>
      <c r="H465" s="18">
        <v>0</v>
      </c>
      <c r="I465" s="18">
        <v>113486.34</v>
      </c>
      <c r="J465" s="18">
        <v>896400.37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5870644.7199999997</v>
      </c>
      <c r="G468" s="18">
        <v>96946.76</v>
      </c>
      <c r="H468" s="18">
        <v>58539.53</v>
      </c>
      <c r="I468" s="18">
        <v>0</v>
      </c>
      <c r="J468" s="18">
        <v>52228.98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5870644.7199999997</v>
      </c>
      <c r="G470" s="53">
        <f>SUM(G468:G469)</f>
        <v>96946.76</v>
      </c>
      <c r="H470" s="53">
        <f>SUM(H468:H469)</f>
        <v>58539.53</v>
      </c>
      <c r="I470" s="53">
        <f>SUM(I468:I469)</f>
        <v>0</v>
      </c>
      <c r="J470" s="53">
        <f>SUM(J468:J469)</f>
        <v>52228.98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5918374.9100000001</v>
      </c>
      <c r="G472" s="18">
        <v>96946.76</v>
      </c>
      <c r="H472" s="18">
        <v>58539.53</v>
      </c>
      <c r="I472" s="18">
        <v>68395.97</v>
      </c>
      <c r="J472" s="18">
        <v>120663.98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5918374.9100000001</v>
      </c>
      <c r="G474" s="53">
        <f>SUM(G472:G473)</f>
        <v>96946.76</v>
      </c>
      <c r="H474" s="53">
        <f>SUM(H472:H473)</f>
        <v>58539.53</v>
      </c>
      <c r="I474" s="53">
        <f>SUM(I472:I473)</f>
        <v>68395.97</v>
      </c>
      <c r="J474" s="53">
        <f>SUM(J472:J473)</f>
        <v>120663.98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109461.38999999966</v>
      </c>
      <c r="G476" s="53">
        <f>(G465+G470)- G474</f>
        <v>0</v>
      </c>
      <c r="H476" s="53">
        <f>(H465+H470)- H474</f>
        <v>0</v>
      </c>
      <c r="I476" s="53">
        <f>(I465+I470)- I474</f>
        <v>45090.369999999995</v>
      </c>
      <c r="J476" s="53">
        <f>(J465+J470)- J474</f>
        <v>827965.37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2637500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2637500</v>
      </c>
      <c r="G495" s="18"/>
      <c r="H495" s="18"/>
      <c r="I495" s="18"/>
      <c r="J495" s="18"/>
      <c r="K495" s="53">
        <f>SUM(F495:J495)</f>
        <v>2637500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77500</v>
      </c>
      <c r="G497" s="18"/>
      <c r="H497" s="18"/>
      <c r="I497" s="18"/>
      <c r="J497" s="18"/>
      <c r="K497" s="53">
        <f t="shared" si="35"/>
        <v>77500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2560000</v>
      </c>
      <c r="G498" s="204"/>
      <c r="H498" s="204"/>
      <c r="I498" s="204"/>
      <c r="J498" s="204"/>
      <c r="K498" s="205">
        <f t="shared" si="35"/>
        <v>2560000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1151015</v>
      </c>
      <c r="G499" s="18"/>
      <c r="H499" s="18"/>
      <c r="I499" s="18"/>
      <c r="J499" s="18"/>
      <c r="K499" s="53">
        <f t="shared" si="35"/>
        <v>1151015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3711015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3711015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</v>
      </c>
      <c r="G501" s="204"/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109592.5</v>
      </c>
      <c r="G502" s="18"/>
      <c r="H502" s="18"/>
      <c r="I502" s="18"/>
      <c r="J502" s="18"/>
      <c r="K502" s="53">
        <f t="shared" si="35"/>
        <v>109592.5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194592.5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194592.5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421849.2</v>
      </c>
      <c r="G521" s="18">
        <v>151890.09</v>
      </c>
      <c r="H521" s="18">
        <v>14648.57</v>
      </c>
      <c r="I521" s="18">
        <v>4569.13</v>
      </c>
      <c r="J521" s="18">
        <v>3238.39</v>
      </c>
      <c r="K521" s="18"/>
      <c r="L521" s="88">
        <f>SUM(F521:K521)</f>
        <v>596195.38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40099.949999999997</v>
      </c>
      <c r="G523" s="18">
        <v>20642.63</v>
      </c>
      <c r="H523" s="18">
        <v>288768.73</v>
      </c>
      <c r="I523" s="18"/>
      <c r="J523" s="18"/>
      <c r="K523" s="18"/>
      <c r="L523" s="88">
        <f>SUM(F523:K523)</f>
        <v>349511.31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461949.15</v>
      </c>
      <c r="G524" s="108">
        <f t="shared" ref="G524:L524" si="36">SUM(G521:G523)</f>
        <v>172532.72</v>
      </c>
      <c r="H524" s="108">
        <f t="shared" si="36"/>
        <v>303417.3</v>
      </c>
      <c r="I524" s="108">
        <f t="shared" si="36"/>
        <v>4569.13</v>
      </c>
      <c r="J524" s="108">
        <f t="shared" si="36"/>
        <v>3238.39</v>
      </c>
      <c r="K524" s="108">
        <f t="shared" si="36"/>
        <v>0</v>
      </c>
      <c r="L524" s="89">
        <f t="shared" si="36"/>
        <v>945706.69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>
        <v>706.89</v>
      </c>
      <c r="H526" s="18">
        <v>125841.89</v>
      </c>
      <c r="I526" s="18"/>
      <c r="J526" s="18"/>
      <c r="K526" s="18"/>
      <c r="L526" s="88">
        <f>SUM(F526:K526)</f>
        <v>126548.78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706.89</v>
      </c>
      <c r="H529" s="89">
        <f t="shared" si="37"/>
        <v>125841.89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126548.78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40099.949999999997</v>
      </c>
      <c r="G533" s="18">
        <v>20642.63</v>
      </c>
      <c r="H533" s="18"/>
      <c r="I533" s="18"/>
      <c r="J533" s="18"/>
      <c r="K533" s="18"/>
      <c r="L533" s="88">
        <f>SUM(F533:K533)</f>
        <v>60742.58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40099.949999999997</v>
      </c>
      <c r="G534" s="89">
        <f t="shared" ref="G534:L534" si="38">SUM(G531:G533)</f>
        <v>20642.63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60742.58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312</v>
      </c>
      <c r="I536" s="18"/>
      <c r="J536" s="18"/>
      <c r="K536" s="18"/>
      <c r="L536" s="88">
        <f>SUM(F536:K536)</f>
        <v>312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1475.51</v>
      </c>
      <c r="I538" s="18"/>
      <c r="J538" s="18"/>
      <c r="K538" s="18"/>
      <c r="L538" s="88">
        <f>SUM(F538:K538)</f>
        <v>1475.51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1787.51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1787.51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502049.10000000003</v>
      </c>
      <c r="G545" s="89">
        <f t="shared" ref="G545:L545" si="41">G524+G529+G534+G539+G544</f>
        <v>193882.24000000002</v>
      </c>
      <c r="H545" s="89">
        <f t="shared" si="41"/>
        <v>431046.7</v>
      </c>
      <c r="I545" s="89">
        <f t="shared" si="41"/>
        <v>4569.13</v>
      </c>
      <c r="J545" s="89">
        <f t="shared" si="41"/>
        <v>3238.39</v>
      </c>
      <c r="K545" s="89">
        <f t="shared" si="41"/>
        <v>0</v>
      </c>
      <c r="L545" s="89">
        <f t="shared" si="41"/>
        <v>1134785.56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596195.38</v>
      </c>
      <c r="G549" s="87">
        <f>L526</f>
        <v>126548.78</v>
      </c>
      <c r="H549" s="87">
        <f>L531</f>
        <v>0</v>
      </c>
      <c r="I549" s="87">
        <f>L536</f>
        <v>312</v>
      </c>
      <c r="J549" s="87">
        <f>L541</f>
        <v>0</v>
      </c>
      <c r="K549" s="87">
        <f>SUM(F549:J549)</f>
        <v>723056.16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349511.31</v>
      </c>
      <c r="G551" s="87">
        <f>L528</f>
        <v>0</v>
      </c>
      <c r="H551" s="87">
        <f>L533</f>
        <v>60742.58</v>
      </c>
      <c r="I551" s="87">
        <f>L538</f>
        <v>1475.51</v>
      </c>
      <c r="J551" s="87">
        <f>L543</f>
        <v>0</v>
      </c>
      <c r="K551" s="87">
        <f>SUM(F551:J551)</f>
        <v>411729.4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945706.69</v>
      </c>
      <c r="G552" s="89">
        <f t="shared" si="42"/>
        <v>126548.78</v>
      </c>
      <c r="H552" s="89">
        <f t="shared" si="42"/>
        <v>60742.58</v>
      </c>
      <c r="I552" s="89">
        <f t="shared" si="42"/>
        <v>1787.51</v>
      </c>
      <c r="J552" s="89">
        <f t="shared" si="42"/>
        <v>0</v>
      </c>
      <c r="K552" s="89">
        <f t="shared" si="42"/>
        <v>1134785.56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948416.56</v>
      </c>
      <c r="I575" s="87">
        <f>SUM(F575:H575)</f>
        <v>948416.56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576914.96</v>
      </c>
      <c r="I576" s="87">
        <f t="shared" ref="I576:I587" si="47">SUM(F576:H576)</f>
        <v>576914.96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146166.28</v>
      </c>
      <c r="I580" s="87">
        <f t="shared" si="47"/>
        <v>146166.28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118014.38</v>
      </c>
      <c r="I583" s="87">
        <f t="shared" si="47"/>
        <v>118014.38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12309.49</v>
      </c>
      <c r="I585" s="87">
        <f t="shared" si="47"/>
        <v>12309.49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116195.51</v>
      </c>
      <c r="I591" s="18"/>
      <c r="J591" s="18"/>
      <c r="K591" s="104">
        <f t="shared" ref="K591:K597" si="48">SUM(H591:J591)</f>
        <v>116195.51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116195.51</v>
      </c>
      <c r="I598" s="108">
        <f>SUM(I591:I597)</f>
        <v>0</v>
      </c>
      <c r="J598" s="108">
        <f>SUM(J591:J597)</f>
        <v>0</v>
      </c>
      <c r="K598" s="108">
        <f>SUM(K591:K597)</f>
        <v>116195.51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37912.39</v>
      </c>
      <c r="I604" s="18"/>
      <c r="J604" s="18"/>
      <c r="K604" s="104">
        <f>SUM(H604:J604)</f>
        <v>37912.39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37912.39</v>
      </c>
      <c r="I605" s="108">
        <f>SUM(I602:I604)</f>
        <v>0</v>
      </c>
      <c r="J605" s="108">
        <f>SUM(J602:J604)</f>
        <v>0</v>
      </c>
      <c r="K605" s="108">
        <f>SUM(K602:K604)</f>
        <v>37912.39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197703.36</v>
      </c>
      <c r="H617" s="109">
        <f>SUM(F52)</f>
        <v>197703.36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481.7</v>
      </c>
      <c r="H618" s="109">
        <f>SUM(G52)</f>
        <v>481.70000000000005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125</v>
      </c>
      <c r="H619" s="109">
        <f>SUM(H52)</f>
        <v>125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47628.98</v>
      </c>
      <c r="H620" s="109">
        <f>SUM(I52)</f>
        <v>47628.979999999996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847965.37</v>
      </c>
      <c r="H621" s="109">
        <f>SUM(J52)</f>
        <v>847965.37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109461.39</v>
      </c>
      <c r="H622" s="109">
        <f>F476</f>
        <v>109461.38999999966</v>
      </c>
      <c r="I622" s="121" t="s">
        <v>101</v>
      </c>
      <c r="J622" s="109">
        <f t="shared" ref="J622:J655" si="50">G622-H622</f>
        <v>3.3469405025243759E-10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45090.369999999995</v>
      </c>
      <c r="H625" s="109">
        <f>I476</f>
        <v>45090.369999999995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827965.37</v>
      </c>
      <c r="H626" s="109">
        <f>J476</f>
        <v>827965.37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5870644.7199999997</v>
      </c>
      <c r="H627" s="104">
        <f>SUM(F468)</f>
        <v>5870644.7199999997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96946.760000000009</v>
      </c>
      <c r="H628" s="104">
        <f>SUM(G468)</f>
        <v>96946.76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58539.53</v>
      </c>
      <c r="H629" s="104">
        <f>SUM(H468)</f>
        <v>58539.53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52228.98</v>
      </c>
      <c r="H631" s="104">
        <f>SUM(J468)</f>
        <v>52228.98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5918374.9100000001</v>
      </c>
      <c r="H632" s="104">
        <f>SUM(F472)</f>
        <v>5918374.9100000001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58539.53</v>
      </c>
      <c r="H633" s="104">
        <f>SUM(H472)</f>
        <v>58539.53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46345.93</v>
      </c>
      <c r="H634" s="104">
        <f>I369</f>
        <v>46345.93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96946.76</v>
      </c>
      <c r="H635" s="104">
        <f>SUM(G472)</f>
        <v>96946.76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68395.97</v>
      </c>
      <c r="H636" s="104">
        <f>SUM(I472)</f>
        <v>68395.97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52228.979999999996</v>
      </c>
      <c r="H637" s="164">
        <f>SUM(J468)</f>
        <v>52228.98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120663.98000000001</v>
      </c>
      <c r="H638" s="164">
        <f>SUM(J472)</f>
        <v>120663.98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847965.37</v>
      </c>
      <c r="H639" s="104">
        <f>SUM(F461)</f>
        <v>847965.37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847965.37</v>
      </c>
      <c r="H642" s="104">
        <f>SUM(I461)</f>
        <v>847965.37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2228.98</v>
      </c>
      <c r="H644" s="104">
        <f>H408</f>
        <v>2228.98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52228.98</v>
      </c>
      <c r="H646" s="104">
        <f>L408</f>
        <v>52228.979999999996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116195.51</v>
      </c>
      <c r="H647" s="104">
        <f>L208+L226+L244</f>
        <v>116195.51000000001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37912.39</v>
      </c>
      <c r="H648" s="104">
        <f>(J257+J338)-(J255+J336)</f>
        <v>37912.39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116195.51000000001</v>
      </c>
      <c r="H649" s="104">
        <f>H598</f>
        <v>116195.51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16724.38</v>
      </c>
      <c r="H652" s="104">
        <f>K263+K345</f>
        <v>16724.38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3927272.7399999998</v>
      </c>
      <c r="G660" s="19">
        <f>(L229+L309+L359)</f>
        <v>0</v>
      </c>
      <c r="H660" s="19">
        <f>(L247+L328+L360)</f>
        <v>1888627.83</v>
      </c>
      <c r="I660" s="19">
        <f>SUM(F660:H660)</f>
        <v>5815900.5700000003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64329.62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64329.62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116195.51000000001</v>
      </c>
      <c r="G662" s="19">
        <f>(L226+L306)-(J226+J306)</f>
        <v>0</v>
      </c>
      <c r="H662" s="19">
        <f>(L244+L325)-(J244+J325)</f>
        <v>0</v>
      </c>
      <c r="I662" s="19">
        <f>SUM(F662:H662)</f>
        <v>116195.51000000001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37912.39</v>
      </c>
      <c r="G663" s="199">
        <f>SUM(G575:G587)+SUM(I602:I604)+L612</f>
        <v>0</v>
      </c>
      <c r="H663" s="199">
        <f>SUM(H575:H587)+SUM(J602:J604)+L613</f>
        <v>1801821.6700000002</v>
      </c>
      <c r="I663" s="19">
        <f>SUM(F663:H663)</f>
        <v>1839734.06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3708835.2199999997</v>
      </c>
      <c r="G664" s="19">
        <f>G660-SUM(G661:G663)</f>
        <v>0</v>
      </c>
      <c r="H664" s="19">
        <f>H660-SUM(H661:H663)</f>
        <v>86806.159999999916</v>
      </c>
      <c r="I664" s="19">
        <f>I660-SUM(I661:I663)</f>
        <v>3795641.3800000004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198.52</v>
      </c>
      <c r="G665" s="248"/>
      <c r="H665" s="248"/>
      <c r="I665" s="19">
        <f>SUM(F665:H665)</f>
        <v>198.52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18682.43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19119.689999999999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-86806.16</v>
      </c>
      <c r="I669" s="19">
        <f>SUM(F669:H669)</f>
        <v>-86806.16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18682.43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18682.43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Normal="100"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Lyme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1314665.5900000001</v>
      </c>
      <c r="C9" s="229">
        <f>'DOE25'!G197+'DOE25'!G215+'DOE25'!G233+'DOE25'!G276+'DOE25'!G295+'DOE25'!G314</f>
        <v>576828.81000000006</v>
      </c>
    </row>
    <row r="10" spans="1:3" x14ac:dyDescent="0.2">
      <c r="A10" t="s">
        <v>779</v>
      </c>
      <c r="B10" s="240">
        <v>1255253.8999999999</v>
      </c>
      <c r="C10" s="240">
        <v>572283.81000000006</v>
      </c>
    </row>
    <row r="11" spans="1:3" x14ac:dyDescent="0.2">
      <c r="A11" t="s">
        <v>780</v>
      </c>
      <c r="B11" s="240">
        <v>12302.62</v>
      </c>
      <c r="C11" s="240">
        <v>941</v>
      </c>
    </row>
    <row r="12" spans="1:3" x14ac:dyDescent="0.2">
      <c r="A12" t="s">
        <v>781</v>
      </c>
      <c r="B12" s="240">
        <v>47109.07</v>
      </c>
      <c r="C12" s="240">
        <v>3604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1314665.5900000001</v>
      </c>
      <c r="C13" s="231">
        <f>SUM(C10:C12)</f>
        <v>576828.81000000006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461949.15</v>
      </c>
      <c r="C18" s="229">
        <f>'DOE25'!G198+'DOE25'!G216+'DOE25'!G234+'DOE25'!G277+'DOE25'!G296+'DOE25'!G315</f>
        <v>172532.72</v>
      </c>
    </row>
    <row r="19" spans="1:3" x14ac:dyDescent="0.2">
      <c r="A19" t="s">
        <v>779</v>
      </c>
      <c r="B19" s="240">
        <v>223242.29</v>
      </c>
      <c r="C19" s="240">
        <v>71794</v>
      </c>
    </row>
    <row r="20" spans="1:3" x14ac:dyDescent="0.2">
      <c r="A20" t="s">
        <v>780</v>
      </c>
      <c r="B20" s="240">
        <v>189462.29</v>
      </c>
      <c r="C20" s="240">
        <v>79738.720000000001</v>
      </c>
    </row>
    <row r="21" spans="1:3" x14ac:dyDescent="0.2">
      <c r="A21" t="s">
        <v>781</v>
      </c>
      <c r="B21" s="240">
        <v>49244.57</v>
      </c>
      <c r="C21" s="240">
        <v>21000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461949.15</v>
      </c>
      <c r="C22" s="231">
        <f>SUM(C19:C21)</f>
        <v>172532.72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Normal="100"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Lyme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4481698.4700000007</v>
      </c>
      <c r="D5" s="20">
        <f>SUM('DOE25'!L197:L200)+SUM('DOE25'!L215:L218)+SUM('DOE25'!L233:L236)-F5-G5</f>
        <v>4447896.370000001</v>
      </c>
      <c r="E5" s="243"/>
      <c r="F5" s="255">
        <f>SUM('DOE25'!J197:J200)+SUM('DOE25'!J215:J218)+SUM('DOE25'!J233:J236)</f>
        <v>33802.1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211050.4</v>
      </c>
      <c r="D6" s="20">
        <f>'DOE25'!L202+'DOE25'!L220+'DOE25'!L238-F6-G6</f>
        <v>210884.15</v>
      </c>
      <c r="E6" s="243"/>
      <c r="F6" s="255">
        <f>'DOE25'!J202+'DOE25'!J220+'DOE25'!J238</f>
        <v>166.25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84862.27</v>
      </c>
      <c r="D7" s="20">
        <f>'DOE25'!L203+'DOE25'!L221+'DOE25'!L239-F7-G7</f>
        <v>84862.27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164397.60000000003</v>
      </c>
      <c r="D8" s="243"/>
      <c r="E8" s="20">
        <f>'DOE25'!L204+'DOE25'!L222+'DOE25'!L240-F8-G8-D9-D11</f>
        <v>159312.74000000002</v>
      </c>
      <c r="F8" s="255">
        <f>'DOE25'!J204+'DOE25'!J222+'DOE25'!J240</f>
        <v>930.35</v>
      </c>
      <c r="G8" s="53">
        <f>'DOE25'!K204+'DOE25'!K222+'DOE25'!K240</f>
        <v>4154.51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25133.23</v>
      </c>
      <c r="D9" s="244">
        <v>25133.23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7950</v>
      </c>
      <c r="D10" s="243"/>
      <c r="E10" s="244">
        <v>7950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79018</v>
      </c>
      <c r="D11" s="244">
        <v>79018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238486.8</v>
      </c>
      <c r="D12" s="20">
        <f>'DOE25'!L205+'DOE25'!L223+'DOE25'!L241-F12-G12</f>
        <v>238486.8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259572.00000000003</v>
      </c>
      <c r="D14" s="20">
        <f>'DOE25'!L207+'DOE25'!L225+'DOE25'!L243-F14-G14</f>
        <v>256558.31000000003</v>
      </c>
      <c r="E14" s="243"/>
      <c r="F14" s="255">
        <f>'DOE25'!J207+'DOE25'!J225+'DOE25'!J243</f>
        <v>3013.69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116195.51000000001</v>
      </c>
      <c r="D15" s="20">
        <f>'DOE25'!L208+'DOE25'!L226+'DOE25'!L244-F15-G15</f>
        <v>116195.51000000001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191236.25</v>
      </c>
      <c r="D25" s="243"/>
      <c r="E25" s="243"/>
      <c r="F25" s="258"/>
      <c r="G25" s="256"/>
      <c r="H25" s="257">
        <f>'DOE25'!L260+'DOE25'!L261+'DOE25'!L341+'DOE25'!L342</f>
        <v>191236.25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53917.549999999996</v>
      </c>
      <c r="D29" s="20">
        <f>'DOE25'!L358+'DOE25'!L359+'DOE25'!L360-'DOE25'!I367-F29-G29</f>
        <v>53901.71</v>
      </c>
      <c r="E29" s="243"/>
      <c r="F29" s="255">
        <f>'DOE25'!J358+'DOE25'!J359+'DOE25'!J360</f>
        <v>15.84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58539.53</v>
      </c>
      <c r="D31" s="20">
        <f>'DOE25'!L290+'DOE25'!L309+'DOE25'!L328+'DOE25'!L333+'DOE25'!L334+'DOE25'!L335-F31-G31</f>
        <v>58539.53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5571475.8800000008</v>
      </c>
      <c r="E33" s="246">
        <f>SUM(E5:E31)</f>
        <v>167262.74000000002</v>
      </c>
      <c r="F33" s="246">
        <f>SUM(F5:F31)</f>
        <v>37928.229999999996</v>
      </c>
      <c r="G33" s="246">
        <f>SUM(G5:G31)</f>
        <v>4154.51</v>
      </c>
      <c r="H33" s="246">
        <f>SUM(H5:H31)</f>
        <v>191236.25</v>
      </c>
    </row>
    <row r="35" spans="2:8" ht="12" thickBot="1" x14ac:dyDescent="0.25">
      <c r="B35" s="253" t="s">
        <v>847</v>
      </c>
      <c r="D35" s="254">
        <f>E33</f>
        <v>167262.74000000002</v>
      </c>
      <c r="E35" s="249"/>
    </row>
    <row r="36" spans="2:8" ht="12" thickTop="1" x14ac:dyDescent="0.2">
      <c r="B36" t="s">
        <v>815</v>
      </c>
      <c r="D36" s="20">
        <f>D33</f>
        <v>5571475.8800000008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topLeftCell="B1" zoomScaleNormal="10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175203.36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20000</v>
      </c>
      <c r="D11" s="95">
        <f>'DOE25'!G12</f>
        <v>0</v>
      </c>
      <c r="E11" s="95">
        <f>'DOE25'!H12</f>
        <v>0</v>
      </c>
      <c r="F11" s="95">
        <f>'DOE25'!I12</f>
        <v>47628.98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847965.37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481.7</v>
      </c>
      <c r="E13" s="95">
        <f>'DOE25'!H14</f>
        <v>125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2500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197703.36</v>
      </c>
      <c r="D18" s="41">
        <f>SUM(D8:D17)</f>
        <v>481.7</v>
      </c>
      <c r="E18" s="41">
        <f>SUM(E8:E17)</f>
        <v>125</v>
      </c>
      <c r="F18" s="41">
        <f>SUM(F8:F17)</f>
        <v>47628.98</v>
      </c>
      <c r="G18" s="41">
        <f>SUM(G8:G17)</f>
        <v>847965.37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47299.82</v>
      </c>
      <c r="D21" s="95">
        <f>'DOE25'!G22</f>
        <v>204.16</v>
      </c>
      <c r="E21" s="95">
        <f>'DOE25'!H22</f>
        <v>125</v>
      </c>
      <c r="F21" s="95">
        <f>'DOE25'!I22</f>
        <v>0</v>
      </c>
      <c r="G21" s="95">
        <f>'DOE25'!J22</f>
        <v>20000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36895.61</v>
      </c>
      <c r="D23" s="95">
        <f>'DOE25'!G24</f>
        <v>277.54000000000002</v>
      </c>
      <c r="E23" s="95">
        <f>'DOE25'!H24</f>
        <v>0</v>
      </c>
      <c r="F23" s="95">
        <f>'DOE25'!I24</f>
        <v>2538.61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4046.54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88241.969999999987</v>
      </c>
      <c r="D31" s="41">
        <f>SUM(D21:D30)</f>
        <v>481.70000000000005</v>
      </c>
      <c r="E31" s="41">
        <f>SUM(E21:E30)</f>
        <v>125</v>
      </c>
      <c r="F31" s="41">
        <f>SUM(F21:F30)</f>
        <v>2538.61</v>
      </c>
      <c r="G31" s="41">
        <f>SUM(G21:G30)</f>
        <v>20000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25090.37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20000</v>
      </c>
      <c r="G42" s="95">
        <f>'DOE25'!J43</f>
        <v>827965.37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101207.8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7204.59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1049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109461.39</v>
      </c>
      <c r="D50" s="41">
        <f>SUM(D34:D49)</f>
        <v>0</v>
      </c>
      <c r="E50" s="41">
        <f>SUM(E34:E49)</f>
        <v>0</v>
      </c>
      <c r="F50" s="41">
        <f>SUM(F34:F49)</f>
        <v>45090.369999999995</v>
      </c>
      <c r="G50" s="41">
        <f>SUM(G34:G49)</f>
        <v>827965.37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197703.36</v>
      </c>
      <c r="D51" s="41">
        <f>D50+D31</f>
        <v>481.70000000000005</v>
      </c>
      <c r="E51" s="41">
        <f>E50+E31</f>
        <v>125</v>
      </c>
      <c r="F51" s="41">
        <f>F50+F31</f>
        <v>47628.979999999996</v>
      </c>
      <c r="G51" s="41">
        <f>G50+G31</f>
        <v>847965.37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4616513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3406.24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2228.98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64329.62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24126.81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27533.050000000003</v>
      </c>
      <c r="D62" s="130">
        <f>SUM(D57:D61)</f>
        <v>64329.62</v>
      </c>
      <c r="E62" s="130">
        <f>SUM(E57:E61)</f>
        <v>0</v>
      </c>
      <c r="F62" s="130">
        <f>SUM(F57:F61)</f>
        <v>0</v>
      </c>
      <c r="G62" s="130">
        <f>SUM(G57:G61)</f>
        <v>2228.98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4644046.05</v>
      </c>
      <c r="D63" s="22">
        <f>D56+D62</f>
        <v>64329.62</v>
      </c>
      <c r="E63" s="22">
        <f>E56+E62</f>
        <v>0</v>
      </c>
      <c r="F63" s="22">
        <f>F56+F62</f>
        <v>0</v>
      </c>
      <c r="G63" s="22">
        <f>G56+G62</f>
        <v>2228.98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287108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794962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1082070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16261.93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7500.46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832.18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23762.39</v>
      </c>
      <c r="D78" s="130">
        <f>SUM(D72:D77)</f>
        <v>832.18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1105832.3899999999</v>
      </c>
      <c r="D81" s="130">
        <f>SUM(D79:D80)+D78+D70</f>
        <v>832.18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15060.58</v>
      </c>
      <c r="E88" s="95">
        <f>SUM('DOE25'!H153:H161)</f>
        <v>58539.53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474.17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474.17</v>
      </c>
      <c r="D91" s="131">
        <f>SUM(D85:D90)</f>
        <v>15060.58</v>
      </c>
      <c r="E91" s="131">
        <f>SUM(E85:E90)</f>
        <v>58539.53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16724.38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100292.11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120292.11</v>
      </c>
      <c r="D103" s="86">
        <f>SUM(D93:D102)</f>
        <v>16724.38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5870644.7199999997</v>
      </c>
      <c r="D104" s="86">
        <f>D63+D81+D91+D103</f>
        <v>96946.760000000009</v>
      </c>
      <c r="E104" s="86">
        <f>E63+E81+E91+E103</f>
        <v>58539.53</v>
      </c>
      <c r="F104" s="86">
        <f>F63+F81+F91+F103</f>
        <v>0</v>
      </c>
      <c r="G104" s="86">
        <f>G63+G81+G103</f>
        <v>52228.98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3549102.1900000004</v>
      </c>
      <c r="D109" s="24" t="s">
        <v>289</v>
      </c>
      <c r="E109" s="95">
        <f>('DOE25'!L276)+('DOE25'!L295)+('DOE25'!L314)</f>
        <v>245.25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932596.28</v>
      </c>
      <c r="D110" s="24" t="s">
        <v>289</v>
      </c>
      <c r="E110" s="95">
        <f>('DOE25'!L277)+('DOE25'!L296)+('DOE25'!L315)</f>
        <v>14897.92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4481698.4700000007</v>
      </c>
      <c r="D115" s="86">
        <f>SUM(D109:D114)</f>
        <v>0</v>
      </c>
      <c r="E115" s="86">
        <f>SUM(E109:E114)</f>
        <v>15143.17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211050.4</v>
      </c>
      <c r="D118" s="24" t="s">
        <v>289</v>
      </c>
      <c r="E118" s="95">
        <f>+('DOE25'!L281)+('DOE25'!L300)+('DOE25'!L319)</f>
        <v>43396.36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84862.27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268548.83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238486.8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259572.00000000003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116195.51000000001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96946.76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1178715.81</v>
      </c>
      <c r="D128" s="86">
        <f>SUM(D118:D127)</f>
        <v>96946.76</v>
      </c>
      <c r="E128" s="86">
        <f>SUM(E118:E127)</f>
        <v>43396.36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68395.97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77500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113736.25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120292.11</v>
      </c>
    </row>
    <row r="135" spans="1:7" x14ac:dyDescent="0.2">
      <c r="A135" t="s">
        <v>233</v>
      </c>
      <c r="B135" s="32" t="s">
        <v>234</v>
      </c>
      <c r="C135" s="95">
        <f>'DOE25'!L263</f>
        <v>16724.38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52228.979999999996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-2228.9799999999959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257960.63</v>
      </c>
      <c r="D144" s="141">
        <f>SUM(D130:D143)</f>
        <v>0</v>
      </c>
      <c r="E144" s="141">
        <f>SUM(E130:E143)</f>
        <v>0</v>
      </c>
      <c r="F144" s="141">
        <f>SUM(F130:F143)</f>
        <v>68395.97</v>
      </c>
      <c r="G144" s="141">
        <f>SUM(G130:G143)</f>
        <v>120292.11</v>
      </c>
    </row>
    <row r="145" spans="1:9" ht="12.75" thickTop="1" thickBot="1" x14ac:dyDescent="0.25">
      <c r="A145" s="33" t="s">
        <v>244</v>
      </c>
      <c r="C145" s="86">
        <f>(C115+C128+C144)</f>
        <v>5918374.9100000011</v>
      </c>
      <c r="D145" s="86">
        <f>(D115+D128+D144)</f>
        <v>96946.76</v>
      </c>
      <c r="E145" s="86">
        <f>(E115+E128+E144)</f>
        <v>58539.53</v>
      </c>
      <c r="F145" s="86">
        <f>(F115+F128+F144)</f>
        <v>68395.97</v>
      </c>
      <c r="G145" s="86">
        <f>(G115+G128+G144)</f>
        <v>120292.11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8/2014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2637500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3.36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2637500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2637500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77500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77500</v>
      </c>
    </row>
    <row r="159" spans="1:9" x14ac:dyDescent="0.2">
      <c r="A159" s="22" t="s">
        <v>35</v>
      </c>
      <c r="B159" s="137">
        <f>'DOE25'!F498</f>
        <v>2560000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2560000</v>
      </c>
    </row>
    <row r="160" spans="1:9" x14ac:dyDescent="0.2">
      <c r="A160" s="22" t="s">
        <v>36</v>
      </c>
      <c r="B160" s="137">
        <f>'DOE25'!F499</f>
        <v>1151015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1151015</v>
      </c>
    </row>
    <row r="161" spans="1:7" x14ac:dyDescent="0.2">
      <c r="A161" s="22" t="s">
        <v>37</v>
      </c>
      <c r="B161" s="137">
        <f>'DOE25'!F500</f>
        <v>3711015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3711015</v>
      </c>
    </row>
    <row r="162" spans="1:7" x14ac:dyDescent="0.2">
      <c r="A162" s="22" t="s">
        <v>38</v>
      </c>
      <c r="B162" s="137">
        <f>'DOE25'!F501</f>
        <v>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109592.5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109592.5</v>
      </c>
    </row>
    <row r="164" spans="1:7" x14ac:dyDescent="0.2">
      <c r="A164" s="22" t="s">
        <v>246</v>
      </c>
      <c r="B164" s="137">
        <f>'DOE25'!F503</f>
        <v>194592.5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194592.5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6" sqref="C3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Lyme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18682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18682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3549347</v>
      </c>
      <c r="D10" s="182">
        <f>ROUND((C10/$C$28)*100,1)</f>
        <v>60.5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947494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254447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84862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268549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238487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259572</v>
      </c>
      <c r="D20" s="182">
        <f t="shared" si="0"/>
        <v>4.4000000000000004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116196</v>
      </c>
      <c r="D21" s="182">
        <f t="shared" si="0"/>
        <v>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113736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32617.379999999997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5865307.3799999999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68396</v>
      </c>
    </row>
    <row r="30" spans="1:4" x14ac:dyDescent="0.2">
      <c r="B30" s="187" t="s">
        <v>729</v>
      </c>
      <c r="C30" s="180">
        <f>SUM(C28:C29)</f>
        <v>5933703.3799999999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77500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4616513</v>
      </c>
      <c r="D35" s="182">
        <f t="shared" ref="D35:D40" si="1">ROUND((C35/$C$41)*100,1)</f>
        <v>79.2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29762.030000000261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1082070</v>
      </c>
      <c r="D37" s="182">
        <f t="shared" si="1"/>
        <v>18.600000000000001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24595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74074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5827014.0300000003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Lyme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2016-08-29T19:11:16Z</cp:lastPrinted>
  <dcterms:created xsi:type="dcterms:W3CDTF">1997-12-04T19:04:30Z</dcterms:created>
  <dcterms:modified xsi:type="dcterms:W3CDTF">2016-10-03T18:49:01Z</dcterms:modified>
</cp:coreProperties>
</file>