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" i="1" l="1"/>
  <c r="C37" i="12" l="1"/>
  <c r="B37" i="12"/>
  <c r="C10" i="12"/>
  <c r="B10" i="12"/>
  <c r="B11" i="12"/>
  <c r="F14" i="1"/>
  <c r="F18" i="1"/>
  <c r="F473" i="1"/>
  <c r="I276" i="1" l="1"/>
  <c r="H276" i="1"/>
  <c r="G110" i="1" l="1"/>
  <c r="H155" i="1"/>
  <c r="H575" i="1"/>
  <c r="F367" i="1" l="1"/>
  <c r="H197" i="1"/>
  <c r="J208" i="1"/>
  <c r="I208" i="1"/>
  <c r="H208" i="1"/>
  <c r="G208" i="1"/>
  <c r="F208" i="1"/>
  <c r="H198" i="1" l="1"/>
  <c r="H23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C12" i="10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7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H640" i="1"/>
  <c r="G641" i="1"/>
  <c r="H641" i="1"/>
  <c r="G642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28" i="1"/>
  <c r="L351" i="1"/>
  <c r="C70" i="2"/>
  <c r="D62" i="2"/>
  <c r="D63" i="2" s="1"/>
  <c r="D18" i="13"/>
  <c r="C18" i="13" s="1"/>
  <c r="D7" i="13"/>
  <c r="C7" i="13" s="1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78" i="2"/>
  <c r="E81" i="2" s="1"/>
  <c r="L427" i="1"/>
  <c r="H112" i="1"/>
  <c r="J641" i="1"/>
  <c r="J639" i="1"/>
  <c r="J571" i="1"/>
  <c r="K571" i="1"/>
  <c r="L433" i="1"/>
  <c r="L419" i="1"/>
  <c r="I169" i="1"/>
  <c r="J643" i="1"/>
  <c r="I476" i="1"/>
  <c r="H625" i="1" s="1"/>
  <c r="J625" i="1" s="1"/>
  <c r="J140" i="1"/>
  <c r="F571" i="1"/>
  <c r="I552" i="1"/>
  <c r="G22" i="2"/>
  <c r="K545" i="1"/>
  <c r="C29" i="10"/>
  <c r="H140" i="1"/>
  <c r="F22" i="13"/>
  <c r="H25" i="13"/>
  <c r="C25" i="13" s="1"/>
  <c r="H571" i="1"/>
  <c r="L560" i="1"/>
  <c r="F338" i="1"/>
  <c r="F352" i="1" s="1"/>
  <c r="G192" i="1"/>
  <c r="H192" i="1"/>
  <c r="E128" i="2"/>
  <c r="L309" i="1"/>
  <c r="E16" i="13"/>
  <c r="L570" i="1"/>
  <c r="I571" i="1"/>
  <c r="G36" i="2"/>
  <c r="L565" i="1"/>
  <c r="G545" i="1"/>
  <c r="C22" i="13"/>
  <c r="C16" i="13"/>
  <c r="H33" i="13"/>
  <c r="K549" i="1" l="1"/>
  <c r="C81" i="2"/>
  <c r="I460" i="1"/>
  <c r="I461" i="1" s="1"/>
  <c r="H642" i="1" s="1"/>
  <c r="J476" i="1"/>
  <c r="H626" i="1" s="1"/>
  <c r="J644" i="1"/>
  <c r="G645" i="1"/>
  <c r="J645" i="1" s="1"/>
  <c r="J649" i="1"/>
  <c r="H476" i="1"/>
  <c r="H624" i="1" s="1"/>
  <c r="J624" i="1" s="1"/>
  <c r="G476" i="1"/>
  <c r="H623" i="1" s="1"/>
  <c r="J623" i="1" s="1"/>
  <c r="C21" i="10"/>
  <c r="J655" i="1"/>
  <c r="J640" i="1"/>
  <c r="H52" i="1"/>
  <c r="H619" i="1" s="1"/>
  <c r="J619" i="1" s="1"/>
  <c r="K598" i="1"/>
  <c r="G647" i="1" s="1"/>
  <c r="K550" i="1"/>
  <c r="K551" i="1"/>
  <c r="L544" i="1"/>
  <c r="H552" i="1"/>
  <c r="L534" i="1"/>
  <c r="F552" i="1"/>
  <c r="K552" i="1"/>
  <c r="L393" i="1"/>
  <c r="C138" i="2" s="1"/>
  <c r="J634" i="1"/>
  <c r="D127" i="2"/>
  <c r="D128" i="2" s="1"/>
  <c r="D145" i="2" s="1"/>
  <c r="H661" i="1"/>
  <c r="D29" i="13"/>
  <c r="C29" i="13" s="1"/>
  <c r="F661" i="1"/>
  <c r="L362" i="1"/>
  <c r="G635" i="1" s="1"/>
  <c r="J635" i="1" s="1"/>
  <c r="C16" i="10"/>
  <c r="C13" i="10"/>
  <c r="E111" i="2"/>
  <c r="E115" i="2" s="1"/>
  <c r="E145" i="2" s="1"/>
  <c r="L290" i="1"/>
  <c r="C10" i="10"/>
  <c r="K271" i="1"/>
  <c r="J257" i="1"/>
  <c r="J271" i="1" s="1"/>
  <c r="I257" i="1"/>
  <c r="I271" i="1" s="1"/>
  <c r="G257" i="1"/>
  <c r="G271" i="1" s="1"/>
  <c r="F257" i="1"/>
  <c r="F271" i="1" s="1"/>
  <c r="C110" i="2"/>
  <c r="C109" i="2"/>
  <c r="L229" i="1"/>
  <c r="G660" i="1" s="1"/>
  <c r="G664" i="1" s="1"/>
  <c r="C11" i="10"/>
  <c r="D5" i="13"/>
  <c r="C5" i="13" s="1"/>
  <c r="H257" i="1"/>
  <c r="H271" i="1" s="1"/>
  <c r="H660" i="1"/>
  <c r="D15" i="13"/>
  <c r="C15" i="13" s="1"/>
  <c r="H647" i="1"/>
  <c r="C124" i="2"/>
  <c r="C128" i="2" s="1"/>
  <c r="F662" i="1"/>
  <c r="I662" i="1" s="1"/>
  <c r="D14" i="13"/>
  <c r="C14" i="13" s="1"/>
  <c r="C123" i="2"/>
  <c r="E13" i="13"/>
  <c r="C13" i="13" s="1"/>
  <c r="D12" i="13"/>
  <c r="C12" i="13" s="1"/>
  <c r="D6" i="13"/>
  <c r="C6" i="13" s="1"/>
  <c r="L211" i="1"/>
  <c r="C15" i="10"/>
  <c r="C115" i="2"/>
  <c r="C62" i="2"/>
  <c r="C63" i="2" s="1"/>
  <c r="C35" i="10"/>
  <c r="F112" i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J652" i="1"/>
  <c r="J642" i="1"/>
  <c r="G571" i="1"/>
  <c r="I434" i="1"/>
  <c r="G434" i="1"/>
  <c r="I663" i="1"/>
  <c r="J647" i="1" l="1"/>
  <c r="I193" i="1"/>
  <c r="G630" i="1" s="1"/>
  <c r="J630" i="1" s="1"/>
  <c r="G104" i="2"/>
  <c r="L545" i="1"/>
  <c r="L408" i="1"/>
  <c r="G637" i="1" s="1"/>
  <c r="J637" i="1" s="1"/>
  <c r="C141" i="2"/>
  <c r="C144" i="2" s="1"/>
  <c r="C145" i="2" s="1"/>
  <c r="C27" i="10"/>
  <c r="C28" i="10" s="1"/>
  <c r="D24" i="10" s="1"/>
  <c r="I661" i="1"/>
  <c r="H664" i="1"/>
  <c r="H667" i="1" s="1"/>
  <c r="D31" i="13"/>
  <c r="C31" i="13" s="1"/>
  <c r="L338" i="1"/>
  <c r="L352" i="1" s="1"/>
  <c r="G633" i="1" s="1"/>
  <c r="J633" i="1" s="1"/>
  <c r="H648" i="1"/>
  <c r="J648" i="1" s="1"/>
  <c r="G672" i="1"/>
  <c r="C5" i="10" s="1"/>
  <c r="G667" i="1"/>
  <c r="L257" i="1"/>
  <c r="L271" i="1" s="1"/>
  <c r="G632" i="1" s="1"/>
  <c r="J632" i="1" s="1"/>
  <c r="E33" i="13"/>
  <c r="D35" i="13" s="1"/>
  <c r="F660" i="1"/>
  <c r="F664" i="1" s="1"/>
  <c r="F672" i="1" s="1"/>
  <c r="C4" i="10" s="1"/>
  <c r="C104" i="2"/>
  <c r="C36" i="10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46" i="1"/>
  <c r="J646" i="1" s="1"/>
  <c r="H672" i="1"/>
  <c r="C6" i="10" s="1"/>
  <c r="I660" i="1"/>
  <c r="I664" i="1" s="1"/>
  <c r="I672" i="1" s="1"/>
  <c r="C7" i="10" s="1"/>
  <c r="C30" i="10"/>
  <c r="D23" i="10"/>
  <c r="D26" i="10"/>
  <c r="F667" i="1"/>
  <c r="D10" i="10"/>
  <c r="D16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<sst xmlns="http://schemas.openxmlformats.org/spreadsheetml/2006/main" count="3957" uniqueCount="915">
  <si>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</si>
  <si>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</si>
  <si>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</si>
  <si>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</si>
  <si>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</si>
  <si>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</si>
  <si>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</si>
  <si>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</si>
  <si>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</si>
  <si>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</si>
  <si>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</si>
  <si>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</si>
  <si>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</si>
  <si>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</si>
  <si>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</si>
  <si>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</si>
  <si>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</si>
  <si>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</si>
  <si>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</si>
  <si>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</si>
  <si>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</si>
  <si>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</si>
  <si>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</si>
  <si>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</si>
  <si>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</si>
  <si>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</si>
  <si>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</si>
  <si>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</si>
  <si>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</si>
  <si>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</si>
  <si>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</si>
  <si>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</si>
  <si>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</si>
  <si>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</si>
  <si>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</si>
  <si>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</si>
  <si>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</si>
  <si>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</si>
  <si>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</si>
  <si>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</si>
  <si>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</si>
  <si>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</si>
  <si>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</si>
  <si>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</si>
  <si>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</si>
  <si>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</si>
  <si>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</si>
  <si>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</si>
  <si>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</si>
  <si>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</si>
  <si>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</si>
  <si>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</si>
  <si>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</si>
  <si>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</si>
  <si>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</si>
  <si>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</si>
  <si>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</si>
  <si>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</si>
  <si>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</si>
  <si>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</si>
  <si>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</si>
  <si>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</si>
  <si>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</si>
  <si>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</si>
  <si>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</si>
  <si>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</si>
  <si>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</si>
  <si>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</si>
  <si>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</si>
  <si>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</si>
  <si>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</si>
  <si>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</si>
  <si>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</si>
  <si>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</si>
  <si>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</si>
  <si>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</si>
  <si>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</si>
  <si>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</si>
  <si>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</si>
  <si>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</si>
  <si>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</si>
  <si>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</si>
  <si>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</si>
  <si>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</si>
  <si>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</si>
  <si>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</si>
  <si>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</si>
  <si>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</si>
  <si>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</si>
  <si>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</si>
  <si>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</si>
  <si>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</si>
  <si>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</si>
  <si>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</si>
  <si>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</si>
  <si>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</si>
  <si>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</si>
  <si>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</si>
  <si>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</si>
  <si>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</si>
  <si>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</si>
  <si>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</si>
  <si>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</si>
  <si>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</si>
  <si>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</si>
  <si>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</si>
  <si>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</si>
  <si>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</si>
  <si>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</si>
  <si>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</si>
  <si>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</si>
  <si>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</si>
  <si>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</si>
  <si>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</si>
  <si>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</si>
  <si>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</si>
  <si>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</si>
  <si>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</si>
  <si>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</si>
  <si>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</si>
  <si>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</si>
  <si>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</si>
  <si>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</si>
  <si>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</si>
  <si>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</si>
  <si>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</si>
  <si>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</si>
  <si>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</si>
  <si>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</si>
  <si>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</si>
  <si>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</si>
  <si>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</si>
  <si>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</si>
  <si>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</si>
  <si>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</si>
  <si>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</si>
  <si>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</si>
  <si>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</si>
  <si>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</si>
  <si>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</si>
  <si>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</si>
  <si>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</si>
  <si>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</si>
  <si>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</si>
  <si>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</si>
  <si>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</si>
  <si>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</si>
  <si>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</si>
  <si>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</si>
  <si>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</si>
  <si>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</si>
  <si>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</si>
  <si>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</si>
  <si>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</si>
  <si>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</si>
  <si>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</si>
  <si>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</si>
  <si>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</si>
  <si>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</si>
  <si>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</si>
  <si>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</si>
  <si>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</si>
  <si>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</si>
  <si>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</si>
  <si>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</si>
  <si>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</si>
  <si>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</si>
  <si>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</si>
  <si>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</si>
  <si>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</si>
  <si>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</si>
  <si>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</si>
  <si>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</si>
  <si>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</si>
  <si>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</si>
  <si>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</si>
  <si>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</si>
  <si>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</si>
  <si>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</si>
  <si>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</si>
  <si>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</si>
  <si>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</si>
  <si>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</si>
  <si>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</si>
  <si>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</si>
  <si>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</si>
  <si>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</si>
  <si>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</si>
  <si>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</si>
  <si>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</si>
  <si>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</si>
  <si>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</si>
  <si>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</si>
  <si>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</si>
  <si>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</si>
  <si>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</si>
  <si>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</si>
  <si>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</si>
  <si>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</si>
  <si>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</si>
  <si>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</si>
  <si>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</si>
  <si>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</si>
  <si>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</si>
  <si>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</si>
  <si>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</si>
  <si>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</si>
  <si>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</si>
  <si>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</si>
  <si>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</si>
  <si>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</si>
  <si>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</si>
  <si>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</si>
  <si>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</si>
  <si>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</si>
  <si>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</si>
  <si>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</si>
  <si>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</si>
  <si>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</si>
  <si>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</si>
  <si>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</si>
  <si>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</si>
  <si>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</si>
  <si>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</si>
  <si>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</si>
  <si>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</si>
  <si>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</si>
  <si>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</si>
  <si>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</si>
  <si>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</si>
  <si>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</si>
  <si>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</si>
  <si>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</si>
  <si>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</si>
  <si>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</si>
  <si>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</si>
  <si>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</si>
  <si>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</si>
  <si>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</si>
  <si>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</si>
  <si>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</si>
  <si>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</si>
  <si>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</si>
  <si>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</si>
  <si>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</si>
  <si>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</si>
  <si>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</si>
  <si>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</si>
  <si>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</si>
  <si>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</si>
  <si>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</si>
  <si>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</si>
  <si>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</si>
  <si>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</si>
  <si>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</si>
  <si>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</si>
  <si>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</si>
  <si>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</si>
  <si>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</si>
  <si>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</si>
  <si>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</si>
  <si>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</si>
  <si>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</si>
  <si>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</si>
  <si>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</si>
  <si>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</si>
  <si>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</si>
  <si>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</si>
  <si>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</si>
  <si>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</si>
  <si>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</si>
  <si>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</si>
  <si>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</si>
  <si>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</si>
  <si>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</si>
  <si>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</si>
  <si>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</si>
  <si>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</si>
  <si>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</si>
  <si>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</si>
  <si>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</si>
  <si>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</si>
  <si>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</si>
  <si>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</si>
  <si>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</si>
  <si>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</si>
  <si>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</si>
  <si>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</si>
  <si>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</si>
  <si>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</si>
  <si>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</si>
  <si>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</si>
  <si>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</si>
  <si>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</si>
  <si>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</si>
  <si>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</si>
  <si>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</si>
  <si>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</si>
  <si>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</si>
  <si>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</si>
  <si>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</si>
  <si>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</si>
  <si>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</si>
  <si>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</si>
  <si>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</si>
  <si>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</si>
  <si>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</si>
  <si>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</si>
  <si>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</si>
  <si>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</si>
  <si>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</si>
  <si>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</si>
  <si>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</si>
  <si>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</si>
  <si>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</si>
  <si>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</si>
  <si>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</si>
  <si>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</si>
  <si>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</si>
  <si>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</si>
  <si>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</si>
  <si>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</si>
  <si>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</si>
  <si>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</si>
  <si>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</si>
  <si>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</si>
  <si>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</si>
  <si>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</si>
  <si>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</si>
  <si>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</si>
  <si>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</si>
  <si>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</si>
  <si>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</si>
  <si>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</si>
  <si>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</si>
  <si>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</si>
  <si>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</si>
  <si>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</si>
  <si>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</si>
  <si>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</si>
  <si>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</si>
  <si>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</si>
  <si>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</si>
  <si>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</si>
  <si>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</si>
  <si>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</si>
  <si>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</si>
  <si>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</si>
  <si>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</si>
  <si>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</si>
  <si>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</si>
  <si>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</si>
  <si>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</si>
  <si>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</si>
  <si>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</si>
  <si>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</si>
  <si>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</si>
  <si>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</si>
  <si>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</si>
  <si>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</si>
  <si>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</si>
  <si>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</si>
  <si>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</si>
  <si>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</si>
  <si>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</si>
  <si>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</si>
  <si>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</si>
  <si>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</si>
  <si>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</si>
  <si>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</si>
  <si>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</si>
  <si>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</si>
  <si>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</si>
  <si>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</si>
  <si>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</si>
  <si>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</si>
  <si>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</si>
  <si>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</si>
  <si>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</si>
  <si>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</si>
  <si>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</si>
  <si>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</si>
  <si>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</si>
  <si>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</si>
  <si>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</si>
  <si>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</si>
  <si>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</si>
  <si>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</si>
  <si>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</si>
  <si>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</si>
  <si>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</si>
  <si>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</si>
  <si>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</si>
  <si>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</si>
  <si>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</si>
  <si>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</si>
  <si>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</si>
  <si>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</si>
  <si>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</si>
  <si>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</si>
  <si>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</si>
  <si>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</si>
  <si>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</si>
  <si>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</si>
  <si>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</si>
  <si>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</si>
  <si>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</si>
  <si>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</si>
  <si>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</si>
  <si>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</si>
  <si>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</si>
  <si>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</si>
  <si>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</si>
  <si>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</si>
  <si>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</si>
  <si>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</si>
  <si>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</si>
  <si>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</si>
  <si>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</si>
  <si>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</si>
  <si>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</si>
  <si>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</si>
  <si>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</si>
  <si>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</si>
  <si>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</si>
  <si>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</si>
  <si>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</si>
  <si>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</si>
  <si>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</si>
  <si>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</si>
  <si>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</si>
  <si>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</si>
  <si>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</si>
  <si>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</si>
  <si>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</si>
  <si>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</si>
  <si>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</si>
  <si>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</si>
  <si>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</si>
  <si>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</si>
  <si>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</si>
  <si>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</si>
  <si>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</si>
  <si>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</si>
  <si>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</si>
  <si>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</si>
  <si>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</si>
  <si>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</si>
  <si>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</si>
  <si>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</si>
  <si>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</si>
  <si>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</si>
  <si>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</si>
  <si>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</si>
  <si>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</si>
  <si>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</si>
  <si>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</si>
  <si>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</si>
  <si>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</si>
  <si>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</si>
  <si>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</si>
  <si>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</si>
  <si>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</si>
  <si>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</si>
  <si>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</si>
  <si>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</si>
  <si>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</si>
  <si>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</si>
  <si>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</si>
  <si>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</si>
  <si>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</si>
  <si>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</si>
  <si>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</si>
  <si>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</si>
  <si>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</si>
  <si>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</si>
  <si>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</si>
  <si>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</si>
  <si>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</si>
  <si>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</si>
  <si>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</si>
  <si>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</si>
  <si>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</si>
  <si>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</si>
  <si>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</si>
  <si>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</si>
  <si>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</si>
  <si>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</si>
  <si>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</si>
  <si>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</si>
  <si>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</si>
  <si>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</si>
  <si>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</si>
  <si>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</si>
  <si>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</si>
  <si>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</si>
  <si>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</si>
  <si>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</si>
  <si>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</si>
  <si>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</si>
  <si>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</si>
  <si>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</si>
  <si>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</si>
  <si>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</si>
  <si>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</si>
  <si>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</si>
  <si>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</si>
  <si>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</si>
  <si>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</si>
  <si>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</si>
  <si>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</si>
  <si>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</si>
  <si>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</si>
  <si>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</si>
  <si>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</si>
  <si>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</si>
  <si>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</si>
  <si>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</si>
  <si>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</si>
  <si>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</si>
  <si>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</si>
  <si>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</si>
  <si>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</si>
  <si>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</si>
  <si>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</si>
  <si>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</si>
  <si>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</si>
  <si>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</si>
  <si>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</si>
  <si>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</si>
  <si>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</si>
  <si>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</si>
  <si>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</si>
  <si>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</si>
  <si>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</si>
  <si>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</si>
  <si>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</si>
  <si>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</si>
  <si>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</si>
  <si>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</si>
  <si>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</si>
  <si>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</si>
  <si>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</si>
  <si>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</si>
  <si>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</si>
  <si>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</si>
  <si>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</si>
  <si>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</si>
  <si>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</si>
  <si>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</si>
  <si>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</si>
  <si>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</si>
  <si>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</si>
  <si>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</si>
  <si>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</si>
  <si>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</si>
  <si>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</si>
  <si>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</si>
  <si>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</si>
  <si>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</si>
  <si>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</si>
  <si>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</si>
  <si>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</si>
  <si>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</si>
  <si>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</si>
  <si>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</si>
  <si>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</si>
  <si>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</si>
  <si>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</si>
  <si>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</si>
  <si>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</si>
  <si>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</si>
  <si>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</si>
  <si>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</si>
  <si>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</si>
  <si>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</si>
  <si>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</si>
  <si>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</si>
  <si>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</si>
  <si>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</si>
  <si>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</si>
  <si>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</si>
  <si>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</si>
  <si>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</si>
  <si>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</si>
  <si>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</si>
  <si>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</si>
  <si>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</si>
  <si>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</si>
  <si>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</si>
  <si>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</si>
  <si>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</si>
  <si>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</si>
  <si>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</si>
  <si>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</si>
  <si>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</si>
  <si>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</si>
  <si>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</si>
  <si>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</si>
  <si>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</si>
  <si>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</si>
  <si>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</si>
  <si>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</si>
  <si>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</si>
  <si>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</si>
  <si>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</si>
  <si>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</si>
  <si>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</si>
  <si>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</si>
  <si>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</si>
  <si>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</si>
  <si>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</si>
  <si>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</si>
  <si>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</si>
  <si>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</si>
  <si>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</si>
  <si>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</si>
  <si>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</si>
  <si>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</si>
  <si>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</si>
  <si>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</si>
  <si>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</si>
  <si>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</si>
  <si>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</si>
  <si>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</si>
  <si>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</si>
  <si>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</si>
  <si>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</si>
  <si>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</si>
  <si>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</si>
  <si>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</si>
  <si>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</si>
  <si>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</si>
  <si>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</si>
  <si>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</si>
  <si>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</si>
  <si>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</si>
  <si>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</si>
  <si>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</si>
  <si>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</si>
  <si>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</si>
  <si>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</si>
  <si>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</si>
  <si>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</si>
  <si>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</si>
  <si>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</si>
  <si>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</si>
  <si>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</si>
  <si>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</si>
  <si>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</si>
  <si>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</si>
  <si>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</si>
  <si>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</si>
  <si>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</si>
  <si>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</si>
  <si>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</si>
  <si>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</si>
  <si>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</si>
  <si>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</si>
  <si>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</si>
  <si>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</si>
  <si>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</si>
  <si>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</si>
  <si>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</si>
  <si>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</si>
  <si>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</si>
  <si>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</si>
  <si>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</si>
  <si>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</si>
  <si>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</si>
  <si>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</si>
  <si>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</si>
  <si>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</si>
  <si>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</si>
  <si>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</si>
  <si>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</si>
  <si>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</si>
  <si>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</si>
  <si>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</si>
  <si>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</si>
  <si>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</si>
  <si>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</si>
  <si>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</si>
  <si>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</si>
  <si>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</si>
  <si>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</si>
  <si>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</si>
  <si>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</si>
  <si>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</si>
  <si>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</si>
  <si>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</si>
  <si>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</si>
  <si>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</si>
  <si>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</si>
  <si>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</si>
  <si>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</si>
  <si>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</si>
  <si>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</si>
  <si>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</si>
  <si>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</si>
  <si>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</si>
  <si>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</si>
  <si>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</si>
  <si>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</si>
  <si>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</si>
  <si>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</si>
  <si>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</si>
  <si>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</si>
  <si>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</si>
  <si>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</si>
  <si>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</si>
  <si>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</si>
  <si>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</si>
  <si>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</si>
  <si>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</si>
  <si>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</si>
  <si>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</si>
  <si>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</si>
  <si>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</si>
  <si>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</si>
  <si>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</si>
  <si>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</si>
  <si>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</si>
  <si>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</si>
  <si>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</si>
  <si>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</si>
  <si>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</si>
  <si>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</si>
  <si>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</si>
  <si>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</si>
  <si>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</si>
  <si>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</si>
  <si>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</si>
  <si>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</si>
  <si>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</si>
  <si>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</si>
  <si>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</si>
  <si>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</si>
  <si>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</si>
  <si>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</si>
  <si>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</si>
  <si>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</si>
  <si>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</si>
  <si>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</si>
  <si>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</si>
  <si>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</si>
  <si>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</si>
  <si>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</si>
  <si>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</si>
  <si>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</si>
  <si>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</si>
  <si>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</si>
  <si>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</si>
  <si>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</si>
  <si>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</si>
  <si>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</si>
  <si>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</si>
  <si>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</si>
  <si>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</si>
  <si>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</si>
  <si>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</si>
  <si>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</si>
  <si>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</si>
  <si>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</si>
  <si>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</si>
  <si>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</si>
  <si>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</si>
  <si>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</si>
  <si>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</si>
  <si>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</si>
  <si>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</si>
  <si>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</si>
  <si>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</si>
  <si>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</si>
  <si>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</si>
  <si>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</si>
  <si>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</si>
  <si>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</si>
  <si>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</si>
  <si>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</si>
  <si>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</si>
  <si>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</si>
  <si>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</si>
  <si>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</si>
  <si>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</si>
  <si>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</si>
  <si>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</si>
  <si>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</si>
  <si>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</si>
  <si>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</si>
  <si>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</si>
  <si>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</si>
  <si>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</si>
  <si>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</si>
  <si>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</si>
  <si>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</si>
  <si>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</si>
  <si>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</si>
  <si>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</si>
  <si>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</si>
  <si>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</si>
  <si>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</si>
  <si>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</si>
  <si>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</si>
  <si>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</si>
  <si>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</si>
  <si>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</si>
  <si>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</si>
  <si>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</si>
  <si>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</si>
  <si>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</si>
  <si>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</si>
  <si>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</si>
  <si>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</si>
  <si>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</si>
  <si>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</si>
  <si>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</si>
  <si>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</si>
  <si>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</si>
  <si>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</si>
  <si>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</si>
  <si>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</si>
  <si>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</si>
  <si>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</si>
  <si>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</si>
  <si>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</si>
  <si>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</si>
  <si>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</si>
  <si>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</si>
  <si>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</si>
  <si>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</si>
  <si>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</si>
  <si>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</si>
  <si>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</si>
  <si>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</si>
  <si>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</si>
  <si>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</si>
  <si>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</si>
  <si>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</si>
  <si>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</si>
  <si>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</si>
  <si>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</si>
  <si>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</si>
  <si>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</si>
  <si>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</si>
  <si>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</si>
  <si>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</si>
  <si>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</si>
  <si>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</si>
  <si>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</si>
  <si>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</si>
  <si>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</si>
  <si>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</si>
  <si>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</si>
  <si>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</si>
  <si>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</si>
  <si>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</si>
  <si>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</si>
  <si>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</si>
  <si>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</si>
  <si>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</si>
  <si>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</si>
  <si>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</si>
  <si>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</si>
  <si>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</si>
  <si>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</si>
  <si>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</si>
  <si>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</si>
  <si>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</si>
  <si>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</si>
  <si>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</si>
  <si>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</si>
  <si>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</si>
  <si>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</si>
  <si>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</si>
  <si>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</si>
  <si>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</si>
  <si>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</si>
  <si>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</si>
  <si>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</si>
  <si>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</si>
  <si>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</si>
  <si>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</si>
  <si>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</si>
  <si>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</si>
  <si>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</si>
  <si>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</si>
  <si>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</si>
  <si>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</si>
  <si>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</si>
  <si>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</si>
  <si>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</si>
  <si>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</si>
  <si>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</si>
  <si>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</si>
  <si>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</si>
  <si>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</si>
  <si>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</si>
  <si>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</si>
  <si>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</si>
  <si>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</si>
  <si>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</si>
  <si>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</si>
  <si>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</si>
  <si>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</si>
  <si>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</si>
  <si>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</si>
  <si>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</si>
  <si>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</si>
  <si>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</si>
  <si>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</si>
  <si>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</si>
  <si>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Madison</t>
  </si>
  <si>
    <t>FY15 Audited Fund Balance Adjustment</t>
  </si>
  <si>
    <t>Sp.Ed. CRF Pending Transfer to off-set over-expenditure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</si>
</sst>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68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333</v>
      </c>
      <c r="C2" s="21">
        <v>333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112949.28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102542.86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-25191.37</v>
      </c>
      <c r="G12" s="18">
        <v>-6954.74</v>
      </c>
      <c r="H12" s="18">
        <v>32146.11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5973.75</v>
      </c>
      <c r="G13" s="18">
        <v>7210.16</v>
      </c>
      <c r="H13" s="18">
        <v>9793.2000000000007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8989.45+73.83</f>
        <v>9063.2800000000007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63336.19+32146.11</f>
        <v>95482.3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198277.24</v>
      </c>
      <c r="G19" s="41">
        <f>SUM(G9:G18)</f>
        <v>255.42000000000007</v>
      </c>
      <c r="H19" s="41">
        <f>SUM(H9:H18)</f>
        <v>41939.31</v>
      </c>
      <c r="I19" s="41">
        <f>SUM(I9:I18)</f>
        <v>0</v>
      </c>
      <c r="J19" s="41">
        <f>SUM(J9:J18)</f>
        <v>102542.86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313.55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7079.75</v>
      </c>
      <c r="G24" s="18">
        <v>255.42</v>
      </c>
      <c r="H24" s="18">
        <v>222.3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41403.46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7079.75</v>
      </c>
      <c r="G32" s="41">
        <f>SUM(G22:G31)</f>
        <v>255.42</v>
      </c>
      <c r="H32" s="41">
        <f>SUM(H22:H31)</f>
        <v>41939.31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48680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18320</v>
      </c>
      <c r="G48" s="18"/>
      <c r="H48" s="18"/>
      <c r="I48" s="18"/>
      <c r="J48" s="13">
        <f>SUM(I459)</f>
        <v>102542.86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29834.6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94362.89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191197.49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102542.86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198277.24</v>
      </c>
      <c r="G52" s="41">
        <f>G51+G32</f>
        <v>255.42</v>
      </c>
      <c r="H52" s="41">
        <f>H51+H32</f>
        <v>41939.31</v>
      </c>
      <c r="I52" s="41">
        <f>I51+I32</f>
        <v>0</v>
      </c>
      <c r="J52" s="41">
        <f>J51+J32</f>
        <v>102542.86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5176108-1105334</f>
        <v>4070774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4070774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6455.68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6455.68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34.619999999999997</v>
      </c>
      <c r="G96" s="18"/>
      <c r="H96" s="18"/>
      <c r="I96" s="18"/>
      <c r="J96" s="18">
        <v>42.86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26636.44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37725.78</v>
      </c>
      <c r="G110" s="18">
        <f>2667+36310.33</f>
        <v>38977.33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37760.400000000001</v>
      </c>
      <c r="G111" s="41">
        <f>SUM(G96:G110)</f>
        <v>65613.77</v>
      </c>
      <c r="H111" s="41">
        <f>SUM(H96:H110)</f>
        <v>0</v>
      </c>
      <c r="I111" s="41">
        <f>SUM(I96:I110)</f>
        <v>0</v>
      </c>
      <c r="J111" s="41">
        <f>SUM(J96:J110)</f>
        <v>42.86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4114990.08</v>
      </c>
      <c r="G112" s="41">
        <f>G60+G111</f>
        <v>65613.77</v>
      </c>
      <c r="H112" s="41">
        <f>H60+H79+H94+H111</f>
        <v>0</v>
      </c>
      <c r="I112" s="41">
        <f>I60+I111</f>
        <v>0</v>
      </c>
      <c r="J112" s="41">
        <f>J60+J111</f>
        <v>42.86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578239.86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1105334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1683573.8599999999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88049.8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7048.66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3029.99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91079.790000000008</v>
      </c>
      <c r="G136" s="41">
        <f>SUM(G123:G135)</f>
        <v>7048.66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1774653.65</v>
      </c>
      <c r="G140" s="41">
        <f>G121+SUM(G136:G137)</f>
        <v>7048.66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47293.36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103469.18-47293.36</f>
        <v>56175.819999999992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39926.03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55854.080000000002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5687.22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55854.080000000002</v>
      </c>
      <c r="G162" s="41">
        <f>SUM(G150:G161)</f>
        <v>45613.25</v>
      </c>
      <c r="H162" s="41">
        <f>SUM(H150:H161)</f>
        <v>103469.18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55854.080000000002</v>
      </c>
      <c r="G169" s="41">
        <f>G147+G162+SUM(G163:G168)</f>
        <v>45613.25</v>
      </c>
      <c r="H169" s="41">
        <f>H147+H162+SUM(H163:H168)</f>
        <v>103469.18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17229.89</v>
      </c>
      <c r="H179" s="18"/>
      <c r="I179" s="18"/>
      <c r="J179" s="18">
        <v>102500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17229.89</v>
      </c>
      <c r="H183" s="41">
        <f>SUM(H179:H182)</f>
        <v>0</v>
      </c>
      <c r="I183" s="41">
        <f>SUM(I179:I182)</f>
        <v>0</v>
      </c>
      <c r="J183" s="41">
        <f>SUM(J179:J182)</f>
        <v>102500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82788.710000000006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82788.710000000006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82788.710000000006</v>
      </c>
      <c r="G192" s="41">
        <f>G183+SUM(G188:G191)</f>
        <v>17229.89</v>
      </c>
      <c r="H192" s="41">
        <f>+H183+SUM(H188:H191)</f>
        <v>0</v>
      </c>
      <c r="I192" s="41">
        <f>I177+I183+SUM(I188:I191)</f>
        <v>0</v>
      </c>
      <c r="J192" s="41">
        <f>J183</f>
        <v>102500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6028286.5200000005</v>
      </c>
      <c r="G193" s="47">
        <f>G112+G140+G169+G192</f>
        <v>135505.57</v>
      </c>
      <c r="H193" s="47">
        <f>H112+H140+H169+H192</f>
        <v>103469.18</v>
      </c>
      <c r="I193" s="47">
        <f>I112+I140+I169+I192</f>
        <v>0</v>
      </c>
      <c r="J193" s="47">
        <f>J112+J140+J192</f>
        <v>102542.86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805723.08</v>
      </c>
      <c r="G197" s="18">
        <v>364297.93</v>
      </c>
      <c r="H197" s="18">
        <f>2499712.19-809808-1662895</f>
        <v>27009.189999999944</v>
      </c>
      <c r="I197" s="18">
        <v>17270.11</v>
      </c>
      <c r="J197" s="18">
        <v>8648.48</v>
      </c>
      <c r="K197" s="18">
        <v>75</v>
      </c>
      <c r="L197" s="19">
        <f>SUM(F197:K197)</f>
        <v>1223023.79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230302.94</v>
      </c>
      <c r="G198" s="18">
        <v>96118.87</v>
      </c>
      <c r="H198" s="18">
        <f>533973.29-192045.86-208832.32</f>
        <v>133095.11000000004</v>
      </c>
      <c r="I198" s="18">
        <v>214.13</v>
      </c>
      <c r="J198" s="18"/>
      <c r="K198" s="18"/>
      <c r="L198" s="19">
        <f>SUM(F198:K198)</f>
        <v>459731.05000000005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43127.13</v>
      </c>
      <c r="G200" s="18">
        <v>4357.76</v>
      </c>
      <c r="H200" s="18">
        <v>500</v>
      </c>
      <c r="I200" s="18">
        <v>813.96</v>
      </c>
      <c r="J200" s="18"/>
      <c r="K200" s="18">
        <v>235</v>
      </c>
      <c r="L200" s="19">
        <f>SUM(F200:K200)</f>
        <v>49033.85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145012.57999999999</v>
      </c>
      <c r="G202" s="18">
        <v>68114.73</v>
      </c>
      <c r="H202" s="18">
        <v>62437.82</v>
      </c>
      <c r="I202" s="18">
        <v>1020.3</v>
      </c>
      <c r="J202" s="18">
        <v>524.34</v>
      </c>
      <c r="K202" s="18">
        <v>315</v>
      </c>
      <c r="L202" s="19">
        <f t="shared" ref="L202:L208" si="0">SUM(F202:K202)</f>
        <v>277424.77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51728.959999999999</v>
      </c>
      <c r="G203" s="18">
        <v>42975.91</v>
      </c>
      <c r="H203" s="18">
        <v>6819.83</v>
      </c>
      <c r="I203" s="18">
        <v>3594.76</v>
      </c>
      <c r="J203" s="18"/>
      <c r="K203" s="18"/>
      <c r="L203" s="19">
        <f t="shared" si="0"/>
        <v>105119.45999999999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7250</v>
      </c>
      <c r="G204" s="18">
        <v>516.38</v>
      </c>
      <c r="H204" s="18">
        <v>241446.51</v>
      </c>
      <c r="I204" s="18">
        <v>64</v>
      </c>
      <c r="J204" s="18"/>
      <c r="K204" s="18">
        <v>3071.19</v>
      </c>
      <c r="L204" s="19">
        <f t="shared" si="0"/>
        <v>252348.08000000002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117962.36</v>
      </c>
      <c r="G205" s="18">
        <v>60614.9</v>
      </c>
      <c r="H205" s="18">
        <v>1583.07</v>
      </c>
      <c r="I205" s="18">
        <v>3791.07</v>
      </c>
      <c r="J205" s="18"/>
      <c r="K205" s="18">
        <v>339.46</v>
      </c>
      <c r="L205" s="19">
        <f t="shared" si="0"/>
        <v>184290.86000000002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74255.72</v>
      </c>
      <c r="G207" s="18">
        <v>46262.36</v>
      </c>
      <c r="H207" s="18">
        <v>93215.13</v>
      </c>
      <c r="I207" s="18">
        <v>72092.81</v>
      </c>
      <c r="J207" s="18">
        <v>1961.98</v>
      </c>
      <c r="K207" s="18"/>
      <c r="L207" s="19">
        <f t="shared" si="0"/>
        <v>287788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93946.49-15928.64-34457.88</f>
        <v>43559.970000000008</v>
      </c>
      <c r="G208" s="18">
        <f>24511.04-4155.85-8990.21</f>
        <v>11364.980000000003</v>
      </c>
      <c r="H208" s="18">
        <f>231736.73-39291-84996.86</f>
        <v>107448.87000000001</v>
      </c>
      <c r="I208" s="18">
        <f>23183.13-3930.7-8503.15</f>
        <v>10749.28</v>
      </c>
      <c r="J208" s="18">
        <f>1183.04-200.58-433.92</f>
        <v>548.54</v>
      </c>
      <c r="K208" s="18"/>
      <c r="L208" s="19">
        <f t="shared" si="0"/>
        <v>173671.64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1518922.74</v>
      </c>
      <c r="G211" s="41">
        <f t="shared" si="1"/>
        <v>694623.82000000007</v>
      </c>
      <c r="H211" s="41">
        <f t="shared" si="1"/>
        <v>673555.52999999991</v>
      </c>
      <c r="I211" s="41">
        <f t="shared" si="1"/>
        <v>109610.42</v>
      </c>
      <c r="J211" s="41">
        <f t="shared" si="1"/>
        <v>11683.34</v>
      </c>
      <c r="K211" s="41">
        <f t="shared" si="1"/>
        <v>4035.65</v>
      </c>
      <c r="L211" s="41">
        <f t="shared" si="1"/>
        <v>3012431.5000000005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809808</v>
      </c>
      <c r="I215" s="18"/>
      <c r="J215" s="18"/>
      <c r="K215" s="18"/>
      <c r="L215" s="19">
        <f>SUM(F215:K215)</f>
        <v>809808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208832.32</v>
      </c>
      <c r="I216" s="18"/>
      <c r="J216" s="18"/>
      <c r="K216" s="18"/>
      <c r="L216" s="19">
        <f>SUM(F216:K216)</f>
        <v>208832.32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15928.64</v>
      </c>
      <c r="G226" s="18">
        <v>4155.8500000000004</v>
      </c>
      <c r="H226" s="18">
        <v>39291</v>
      </c>
      <c r="I226" s="18">
        <v>3930.7</v>
      </c>
      <c r="J226" s="18">
        <v>200.58</v>
      </c>
      <c r="K226" s="18"/>
      <c r="L226" s="19">
        <f t="shared" si="2"/>
        <v>63506.77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15928.64</v>
      </c>
      <c r="G229" s="41">
        <f>SUM(G215:G228)</f>
        <v>4155.8500000000004</v>
      </c>
      <c r="H229" s="41">
        <f>SUM(H215:H228)</f>
        <v>1057931.32</v>
      </c>
      <c r="I229" s="41">
        <f>SUM(I215:I228)</f>
        <v>3930.7</v>
      </c>
      <c r="J229" s="41">
        <f>SUM(J215:J228)</f>
        <v>200.58</v>
      </c>
      <c r="K229" s="41">
        <f t="shared" si="3"/>
        <v>0</v>
      </c>
      <c r="L229" s="41">
        <f t="shared" si="3"/>
        <v>1082147.0900000001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193235+1469660</f>
        <v>1662895</v>
      </c>
      <c r="I233" s="18"/>
      <c r="J233" s="18"/>
      <c r="K233" s="18"/>
      <c r="L233" s="19">
        <f>SUM(F233:K233)</f>
        <v>1662895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192045.86</v>
      </c>
      <c r="I234" s="18"/>
      <c r="J234" s="18"/>
      <c r="K234" s="18"/>
      <c r="L234" s="19">
        <f>SUM(F234:K234)</f>
        <v>192045.86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34457.879999999997</v>
      </c>
      <c r="G244" s="18">
        <v>8990.2099999999991</v>
      </c>
      <c r="H244" s="18">
        <v>84996.86</v>
      </c>
      <c r="I244" s="18">
        <v>8503.15</v>
      </c>
      <c r="J244" s="18">
        <v>433.92</v>
      </c>
      <c r="K244" s="18"/>
      <c r="L244" s="19">
        <f t="shared" si="4"/>
        <v>137382.02000000002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34457.879999999997</v>
      </c>
      <c r="G247" s="41">
        <f t="shared" si="5"/>
        <v>8990.2099999999991</v>
      </c>
      <c r="H247" s="41">
        <f t="shared" si="5"/>
        <v>1939937.72</v>
      </c>
      <c r="I247" s="41">
        <f t="shared" si="5"/>
        <v>8503.15</v>
      </c>
      <c r="J247" s="41">
        <f t="shared" si="5"/>
        <v>433.92</v>
      </c>
      <c r="K247" s="41">
        <f t="shared" si="5"/>
        <v>0</v>
      </c>
      <c r="L247" s="41">
        <f t="shared" si="5"/>
        <v>1992322.88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1569309.2599999998</v>
      </c>
      <c r="G257" s="41">
        <f t="shared" si="8"/>
        <v>707769.88</v>
      </c>
      <c r="H257" s="41">
        <f t="shared" si="8"/>
        <v>3671424.5700000003</v>
      </c>
      <c r="I257" s="41">
        <f t="shared" si="8"/>
        <v>122044.26999999999</v>
      </c>
      <c r="J257" s="41">
        <f t="shared" si="8"/>
        <v>12317.84</v>
      </c>
      <c r="K257" s="41">
        <f t="shared" si="8"/>
        <v>4035.65</v>
      </c>
      <c r="L257" s="41">
        <f t="shared" si="8"/>
        <v>6086901.4700000007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17229.89</v>
      </c>
      <c r="L263" s="19">
        <f>SUM(F263:K263)</f>
        <v>17229.89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102500</v>
      </c>
      <c r="L266" s="19">
        <f t="shared" si="9"/>
        <v>102500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119729.89</v>
      </c>
      <c r="L270" s="41">
        <f t="shared" si="9"/>
        <v>119729.89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1569309.2599999998</v>
      </c>
      <c r="G271" s="42">
        <f t="shared" si="11"/>
        <v>707769.88</v>
      </c>
      <c r="H271" s="42">
        <f t="shared" si="11"/>
        <v>3671424.5700000003</v>
      </c>
      <c r="I271" s="42">
        <f t="shared" si="11"/>
        <v>122044.26999999999</v>
      </c>
      <c r="J271" s="42">
        <f t="shared" si="11"/>
        <v>12317.84</v>
      </c>
      <c r="K271" s="42">
        <f t="shared" si="11"/>
        <v>123765.54</v>
      </c>
      <c r="L271" s="42">
        <f t="shared" si="11"/>
        <v>6206631.3600000003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10128.040000000001</v>
      </c>
      <c r="G276" s="18">
        <v>942.82</v>
      </c>
      <c r="H276" s="18">
        <f>695+3700</f>
        <v>4395</v>
      </c>
      <c r="I276" s="18">
        <f>874.8+26368.36</f>
        <v>27243.16</v>
      </c>
      <c r="J276" s="18">
        <v>19414.61</v>
      </c>
      <c r="K276" s="18"/>
      <c r="L276" s="19">
        <f>SUM(F276:K276)</f>
        <v>62123.630000000005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8704.59</v>
      </c>
      <c r="G279" s="18">
        <v>1011.38</v>
      </c>
      <c r="H279" s="18">
        <v>3750</v>
      </c>
      <c r="I279" s="18">
        <v>6041.26</v>
      </c>
      <c r="J279" s="18"/>
      <c r="K279" s="18">
        <v>1371.5</v>
      </c>
      <c r="L279" s="19">
        <f>SUM(F279:K279)</f>
        <v>20878.73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1200</v>
      </c>
      <c r="G282" s="18">
        <v>272.99</v>
      </c>
      <c r="H282" s="18">
        <v>14034.43</v>
      </c>
      <c r="I282" s="18">
        <v>2611.94</v>
      </c>
      <c r="J282" s="18"/>
      <c r="K282" s="18"/>
      <c r="L282" s="19">
        <f t="shared" si="12"/>
        <v>18119.36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2347.46</v>
      </c>
      <c r="L283" s="19">
        <f t="shared" si="12"/>
        <v>2347.46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20032.63</v>
      </c>
      <c r="G290" s="42">
        <f t="shared" si="13"/>
        <v>2227.19</v>
      </c>
      <c r="H290" s="42">
        <f t="shared" si="13"/>
        <v>22179.43</v>
      </c>
      <c r="I290" s="42">
        <f t="shared" si="13"/>
        <v>35896.36</v>
      </c>
      <c r="J290" s="42">
        <f t="shared" si="13"/>
        <v>19414.61</v>
      </c>
      <c r="K290" s="42">
        <f t="shared" si="13"/>
        <v>3718.96</v>
      </c>
      <c r="L290" s="41">
        <f t="shared" si="13"/>
        <v>103469.18000000001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20032.63</v>
      </c>
      <c r="G338" s="41">
        <f t="shared" si="20"/>
        <v>2227.19</v>
      </c>
      <c r="H338" s="41">
        <f t="shared" si="20"/>
        <v>22179.43</v>
      </c>
      <c r="I338" s="41">
        <f t="shared" si="20"/>
        <v>35896.36</v>
      </c>
      <c r="J338" s="41">
        <f t="shared" si="20"/>
        <v>19414.61</v>
      </c>
      <c r="K338" s="41">
        <f t="shared" si="20"/>
        <v>3718.96</v>
      </c>
      <c r="L338" s="41">
        <f t="shared" si="20"/>
        <v>103469.18000000001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20032.63</v>
      </c>
      <c r="G352" s="41">
        <f>G338</f>
        <v>2227.19</v>
      </c>
      <c r="H352" s="41">
        <f>H338</f>
        <v>22179.43</v>
      </c>
      <c r="I352" s="41">
        <f>I338</f>
        <v>35896.36</v>
      </c>
      <c r="J352" s="41">
        <f>J338</f>
        <v>19414.61</v>
      </c>
      <c r="K352" s="47">
        <f>K338+K351</f>
        <v>3718.96</v>
      </c>
      <c r="L352" s="41">
        <f>L338+L351</f>
        <v>103469.18000000001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61757.85</v>
      </c>
      <c r="G358" s="18">
        <v>26619.35</v>
      </c>
      <c r="H358" s="18">
        <v>1239.79</v>
      </c>
      <c r="I358" s="18">
        <v>45888.58</v>
      </c>
      <c r="J358" s="18"/>
      <c r="K358" s="18"/>
      <c r="L358" s="13">
        <f>SUM(F358:K358)</f>
        <v>135505.57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61757.85</v>
      </c>
      <c r="G362" s="47">
        <f t="shared" si="22"/>
        <v>26619.35</v>
      </c>
      <c r="H362" s="47">
        <f t="shared" si="22"/>
        <v>1239.79</v>
      </c>
      <c r="I362" s="47">
        <f t="shared" si="22"/>
        <v>45888.58</v>
      </c>
      <c r="J362" s="47">
        <f t="shared" si="22"/>
        <v>0</v>
      </c>
      <c r="K362" s="47">
        <f t="shared" si="22"/>
        <v>0</v>
      </c>
      <c r="L362" s="47">
        <f t="shared" si="22"/>
        <v>135505.57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30872.98+5106.21+5687.22</f>
        <v>41666.410000000003</v>
      </c>
      <c r="G367" s="18"/>
      <c r="H367" s="18"/>
      <c r="I367" s="56">
        <f>SUM(F367:H367)</f>
        <v>41666.410000000003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4222.17</v>
      </c>
      <c r="G368" s="63"/>
      <c r="H368" s="63"/>
      <c r="I368" s="56">
        <f>SUM(F368:H368)</f>
        <v>4222.17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45888.58</v>
      </c>
      <c r="G369" s="47">
        <f>SUM(G367:G368)</f>
        <v>0</v>
      </c>
      <c r="H369" s="47">
        <f>SUM(H367:H368)</f>
        <v>0</v>
      </c>
      <c r="I369" s="47">
        <f>SUM(I367:I368)</f>
        <v>45888.58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55500</v>
      </c>
      <c r="H389" s="18">
        <v>24.5</v>
      </c>
      <c r="I389" s="18"/>
      <c r="J389" s="24" t="s">
        <v>289</v>
      </c>
      <c r="K389" s="24" t="s">
        <v>289</v>
      </c>
      <c r="L389" s="56">
        <f t="shared" si="25"/>
        <v>55524.5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27000</v>
      </c>
      <c r="H390" s="18">
        <v>4.01</v>
      </c>
      <c r="I390" s="18"/>
      <c r="J390" s="24" t="s">
        <v>289</v>
      </c>
      <c r="K390" s="24" t="s">
        <v>289</v>
      </c>
      <c r="L390" s="56">
        <f t="shared" si="25"/>
        <v>27004.01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82500</v>
      </c>
      <c r="H393" s="139">
        <f>SUM(H387:H392)</f>
        <v>28.509999999999998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82528.509999999995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20000</v>
      </c>
      <c r="H397" s="18">
        <v>13.04</v>
      </c>
      <c r="I397" s="18"/>
      <c r="J397" s="24" t="s">
        <v>289</v>
      </c>
      <c r="K397" s="24" t="s">
        <v>289</v>
      </c>
      <c r="L397" s="56">
        <f t="shared" si="26"/>
        <v>20013.04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1.31</v>
      </c>
      <c r="I399" s="18"/>
      <c r="J399" s="24" t="s">
        <v>289</v>
      </c>
      <c r="K399" s="24" t="s">
        <v>289</v>
      </c>
      <c r="L399" s="56">
        <f t="shared" si="26"/>
        <v>1.31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14.35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20014.350000000002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102500</v>
      </c>
      <c r="H408" s="47">
        <f>H393+H401+H407</f>
        <v>42.86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102542.86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102542.86</v>
      </c>
      <c r="H440" s="18"/>
      <c r="I440" s="56">
        <f t="shared" si="33"/>
        <v>102542.86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102542.86</v>
      </c>
      <c r="H446" s="13">
        <f>SUM(H439:H445)</f>
        <v>0</v>
      </c>
      <c r="I446" s="13">
        <f>SUM(I439:I445)</f>
        <v>102542.86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102542.86</v>
      </c>
      <c r="H459" s="18"/>
      <c r="I459" s="56">
        <f t="shared" si="34"/>
        <v>102542.86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102542.86</v>
      </c>
      <c r="H460" s="83">
        <f>SUM(H454:H459)</f>
        <v>0</v>
      </c>
      <c r="I460" s="83">
        <f>SUM(I454:I459)</f>
        <v>102542.86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102542.86</v>
      </c>
      <c r="H461" s="42">
        <f>H452+H460</f>
        <v>0</v>
      </c>
      <c r="I461" s="42">
        <f>I452+I460</f>
        <v>102542.86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321449.37</v>
      </c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6028286.5199999996</v>
      </c>
      <c r="G468" s="18">
        <v>135505.57</v>
      </c>
      <c r="H468" s="18">
        <v>103469.18</v>
      </c>
      <c r="I468" s="18"/>
      <c r="J468" s="18">
        <v>102542.86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63336.19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6091622.71</v>
      </c>
      <c r="G470" s="53">
        <f>SUM(G468:G469)</f>
        <v>135505.57</v>
      </c>
      <c r="H470" s="53">
        <f>SUM(H468:H469)</f>
        <v>103469.18</v>
      </c>
      <c r="I470" s="53">
        <f>SUM(I468:I469)</f>
        <v>0</v>
      </c>
      <c r="J470" s="53">
        <f>SUM(J468:J469)</f>
        <v>102542.86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6206631.3600000003</v>
      </c>
      <c r="G472" s="18">
        <v>135505.57</v>
      </c>
      <c r="H472" s="18">
        <v>103469.18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13915.66+1327.57</f>
        <v>15243.23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6221874.5900000008</v>
      </c>
      <c r="G474" s="53">
        <f>SUM(G472:G473)</f>
        <v>135505.57</v>
      </c>
      <c r="H474" s="53">
        <f>SUM(H472:H473)</f>
        <v>103469.18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191197.48999999929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102542.86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230302.94</v>
      </c>
      <c r="G521" s="18">
        <v>96118.87</v>
      </c>
      <c r="H521" s="18">
        <v>133095.10999999999</v>
      </c>
      <c r="I521" s="18">
        <v>214.13</v>
      </c>
      <c r="J521" s="18"/>
      <c r="K521" s="18"/>
      <c r="L521" s="88">
        <f>SUM(F521:K521)</f>
        <v>459731.05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208832.32</v>
      </c>
      <c r="I522" s="18"/>
      <c r="J522" s="18"/>
      <c r="K522" s="18"/>
      <c r="L522" s="88">
        <f>SUM(F522:K522)</f>
        <v>208832.32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192045.86</v>
      </c>
      <c r="I523" s="18"/>
      <c r="J523" s="18"/>
      <c r="K523" s="18"/>
      <c r="L523" s="88">
        <f>SUM(F523:K523)</f>
        <v>192045.86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230302.94</v>
      </c>
      <c r="G524" s="108">
        <f t="shared" ref="G524:L524" si="36">SUM(G521:G523)</f>
        <v>96118.87</v>
      </c>
      <c r="H524" s="108">
        <f t="shared" si="36"/>
        <v>533973.29</v>
      </c>
      <c r="I524" s="108">
        <f t="shared" si="36"/>
        <v>214.13</v>
      </c>
      <c r="J524" s="108">
        <f t="shared" si="36"/>
        <v>0</v>
      </c>
      <c r="K524" s="108">
        <f t="shared" si="36"/>
        <v>0</v>
      </c>
      <c r="L524" s="89">
        <f t="shared" si="36"/>
        <v>860609.23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43127.13</v>
      </c>
      <c r="G526" s="18">
        <v>4357.76</v>
      </c>
      <c r="H526" s="18">
        <v>500</v>
      </c>
      <c r="I526" s="18">
        <v>813.96</v>
      </c>
      <c r="J526" s="18"/>
      <c r="K526" s="18">
        <v>235</v>
      </c>
      <c r="L526" s="88">
        <f>SUM(F526:K526)</f>
        <v>49033.85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43127.13</v>
      </c>
      <c r="G529" s="89">
        <f t="shared" ref="G529:L529" si="37">SUM(G526:G528)</f>
        <v>4357.76</v>
      </c>
      <c r="H529" s="89">
        <f t="shared" si="37"/>
        <v>500</v>
      </c>
      <c r="I529" s="89">
        <f t="shared" si="37"/>
        <v>813.96</v>
      </c>
      <c r="J529" s="89">
        <f t="shared" si="37"/>
        <v>0</v>
      </c>
      <c r="K529" s="89">
        <f t="shared" si="37"/>
        <v>235</v>
      </c>
      <c r="L529" s="89">
        <f t="shared" si="37"/>
        <v>49033.85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33994.46</v>
      </c>
      <c r="G531" s="18">
        <v>16734.34</v>
      </c>
      <c r="H531" s="18">
        <v>175.45</v>
      </c>
      <c r="I531" s="18">
        <v>175.45</v>
      </c>
      <c r="J531" s="18">
        <v>175.45</v>
      </c>
      <c r="K531" s="18">
        <v>449.15</v>
      </c>
      <c r="L531" s="88">
        <f>SUM(F531:K531)</f>
        <v>51704.299999999996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33994.46</v>
      </c>
      <c r="G534" s="89">
        <f t="shared" ref="G534:L534" si="38">SUM(G531:G533)</f>
        <v>16734.34</v>
      </c>
      <c r="H534" s="89">
        <f t="shared" si="38"/>
        <v>175.45</v>
      </c>
      <c r="I534" s="89">
        <f t="shared" si="38"/>
        <v>175.45</v>
      </c>
      <c r="J534" s="89">
        <f t="shared" si="38"/>
        <v>175.45</v>
      </c>
      <c r="K534" s="89">
        <f t="shared" si="38"/>
        <v>449.15</v>
      </c>
      <c r="L534" s="89">
        <f t="shared" si="38"/>
        <v>51704.299999999996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12519.03</v>
      </c>
      <c r="I541" s="18"/>
      <c r="J541" s="18"/>
      <c r="K541" s="18"/>
      <c r="L541" s="88">
        <f>SUM(F541:K541)</f>
        <v>12519.03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50170</v>
      </c>
      <c r="I542" s="18"/>
      <c r="J542" s="18"/>
      <c r="K542" s="18"/>
      <c r="L542" s="88">
        <f>SUM(F542:K542)</f>
        <v>50170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49605.440000000002</v>
      </c>
      <c r="I543" s="18"/>
      <c r="J543" s="18"/>
      <c r="K543" s="18"/>
      <c r="L543" s="88">
        <f>SUM(F543:K543)</f>
        <v>49605.440000000002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112294.47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112294.47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307424.53000000003</v>
      </c>
      <c r="G545" s="89">
        <f t="shared" ref="G545:L545" si="41">G524+G529+G534+G539+G544</f>
        <v>117210.96999999999</v>
      </c>
      <c r="H545" s="89">
        <f t="shared" si="41"/>
        <v>646943.21</v>
      </c>
      <c r="I545" s="89">
        <f t="shared" si="41"/>
        <v>1203.5400000000002</v>
      </c>
      <c r="J545" s="89">
        <f t="shared" si="41"/>
        <v>175.45</v>
      </c>
      <c r="K545" s="89">
        <f t="shared" si="41"/>
        <v>684.15</v>
      </c>
      <c r="L545" s="89">
        <f t="shared" si="41"/>
        <v>1073641.8500000001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459731.05</v>
      </c>
      <c r="G549" s="87">
        <f>L526</f>
        <v>49033.85</v>
      </c>
      <c r="H549" s="87">
        <f>L531</f>
        <v>51704.299999999996</v>
      </c>
      <c r="I549" s="87">
        <f>L536</f>
        <v>0</v>
      </c>
      <c r="J549" s="87">
        <f>L541</f>
        <v>12519.03</v>
      </c>
      <c r="K549" s="87">
        <f>SUM(F549:J549)</f>
        <v>572988.23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208832.32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50170</v>
      </c>
      <c r="K550" s="87">
        <f>SUM(F550:J550)</f>
        <v>259002.32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192045.86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49605.440000000002</v>
      </c>
      <c r="K551" s="87">
        <f>SUM(F551:J551)</f>
        <v>241651.3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860609.23</v>
      </c>
      <c r="G552" s="89">
        <f t="shared" si="42"/>
        <v>49033.85</v>
      </c>
      <c r="H552" s="89">
        <f t="shared" si="42"/>
        <v>51704.299999999996</v>
      </c>
      <c r="I552" s="89">
        <f t="shared" si="42"/>
        <v>0</v>
      </c>
      <c r="J552" s="89">
        <f t="shared" si="42"/>
        <v>112294.47</v>
      </c>
      <c r="K552" s="89">
        <f t="shared" si="42"/>
        <v>1073641.8500000001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809808</v>
      </c>
      <c r="H575" s="18">
        <f>193235+1469660</f>
        <v>1662895</v>
      </c>
      <c r="I575" s="87">
        <f>SUM(F575:H575)</f>
        <v>2472703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61195.4</v>
      </c>
      <c r="G579" s="18">
        <v>208832.32</v>
      </c>
      <c r="H579" s="18">
        <v>192045.86</v>
      </c>
      <c r="I579" s="87">
        <f t="shared" si="47"/>
        <v>462073.58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160274.29</v>
      </c>
      <c r="I591" s="18">
        <v>13336.77</v>
      </c>
      <c r="J591" s="18">
        <v>87776.58</v>
      </c>
      <c r="K591" s="104">
        <f t="shared" ref="K591:K597" si="48">SUM(H591:J591)</f>
        <v>261387.64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12519.03</v>
      </c>
      <c r="I592" s="18">
        <v>50170</v>
      </c>
      <c r="J592" s="18">
        <v>49605.440000000002</v>
      </c>
      <c r="K592" s="104">
        <f t="shared" si="48"/>
        <v>112294.47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878.32</v>
      </c>
      <c r="I595" s="18"/>
      <c r="J595" s="18"/>
      <c r="K595" s="104">
        <f t="shared" si="48"/>
        <v>878.32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173671.64</v>
      </c>
      <c r="I598" s="108">
        <f>SUM(I591:I597)</f>
        <v>63506.770000000004</v>
      </c>
      <c r="J598" s="108">
        <f>SUM(J591:J597)</f>
        <v>137382.02000000002</v>
      </c>
      <c r="K598" s="108">
        <f>SUM(K591:K597)</f>
        <v>374560.43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31732.45</v>
      </c>
      <c r="I604" s="18"/>
      <c r="J604" s="18"/>
      <c r="K604" s="104">
        <f>SUM(H604:J604)</f>
        <v>31732.45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31732.45</v>
      </c>
      <c r="I605" s="108">
        <f>SUM(I602:I604)</f>
        <v>0</v>
      </c>
      <c r="J605" s="108">
        <f>SUM(J602:J604)</f>
        <v>0</v>
      </c>
      <c r="K605" s="108">
        <f>SUM(K602:K604)</f>
        <v>31732.45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198277.24</v>
      </c>
      <c r="H617" s="109">
        <f>SUM(F52)</f>
        <v>198277.24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255.42000000000007</v>
      </c>
      <c r="H618" s="109">
        <f>SUM(G52)</f>
        <v>255.42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41939.31</v>
      </c>
      <c r="H619" s="109">
        <f>SUM(H52)</f>
        <v>41939.31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102542.86</v>
      </c>
      <c r="H621" s="109">
        <f>SUM(J52)</f>
        <v>102542.86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191197.49</v>
      </c>
      <c r="H622" s="109">
        <f>F476</f>
        <v>191197.48999999929</v>
      </c>
      <c r="I622" s="121" t="s">
        <v>101</v>
      </c>
      <c r="J622" s="109">
        <f t="shared" ref="J622:J655" si="50">G622-H622</f>
        <v>6.9849193096160889E-10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102542.86</v>
      </c>
      <c r="H626" s="109">
        <f>J476</f>
        <v>102542.86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6028286.5200000005</v>
      </c>
      <c r="H627" s="104">
        <f>SUM(F468)</f>
        <v>6028286.5199999996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135505.57</v>
      </c>
      <c r="H628" s="104">
        <f>SUM(G468)</f>
        <v>135505.57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103469.18</v>
      </c>
      <c r="H629" s="104">
        <f>SUM(H468)</f>
        <v>103469.18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102542.86</v>
      </c>
      <c r="H631" s="104">
        <f>SUM(J468)</f>
        <v>102542.86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6206631.3600000003</v>
      </c>
      <c r="H632" s="104">
        <f>SUM(F472)</f>
        <v>6206631.3600000003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103469.18000000001</v>
      </c>
      <c r="H633" s="104">
        <f>SUM(H472)</f>
        <v>103469.18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45888.58</v>
      </c>
      <c r="H634" s="104">
        <f>I369</f>
        <v>45888.58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135505.57</v>
      </c>
      <c r="H635" s="104">
        <f>SUM(G472)</f>
        <v>135505.57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102542.86</v>
      </c>
      <c r="H637" s="164">
        <f>SUM(J468)</f>
        <v>102542.86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102542.86</v>
      </c>
      <c r="H640" s="104">
        <f>SUM(G461)</f>
        <v>102542.86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102542.86</v>
      </c>
      <c r="H642" s="104">
        <f>SUM(I461)</f>
        <v>102542.86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42.86</v>
      </c>
      <c r="H644" s="104">
        <f>H408</f>
        <v>42.86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102500</v>
      </c>
      <c r="H645" s="104">
        <f>G408</f>
        <v>102500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102542.86</v>
      </c>
      <c r="H646" s="104">
        <f>L408</f>
        <v>102542.86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374560.43</v>
      </c>
      <c r="H647" s="104">
        <f>L208+L226+L244</f>
        <v>374560.43000000005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31732.45</v>
      </c>
      <c r="H648" s="104">
        <f>(J257+J338)-(J255+J336)</f>
        <v>31732.45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173671.64</v>
      </c>
      <c r="H649" s="104">
        <f>H598</f>
        <v>173671.64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63506.77</v>
      </c>
      <c r="H650" s="104">
        <f>I598</f>
        <v>63506.770000000004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137382.02000000002</v>
      </c>
      <c r="H651" s="104">
        <f>J598</f>
        <v>137382.02000000002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17229.89</v>
      </c>
      <c r="H652" s="104">
        <f>K263+K345</f>
        <v>17229.89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102500</v>
      </c>
      <c r="H655" s="104">
        <f>K266+K347</f>
        <v>102500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3251406.2500000005</v>
      </c>
      <c r="G660" s="19">
        <f>(L229+L309+L359)</f>
        <v>1082147.0900000001</v>
      </c>
      <c r="H660" s="19">
        <f>(L247+L328+L360)</f>
        <v>1992322.88</v>
      </c>
      <c r="I660" s="19">
        <f>SUM(F660:H660)</f>
        <v>6325876.2200000007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65613.77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65613.77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173123.1</v>
      </c>
      <c r="G662" s="19">
        <f>(L226+L306)-(J226+J306)</f>
        <v>63306.189999999995</v>
      </c>
      <c r="H662" s="19">
        <f>(L244+L325)-(J244+J325)</f>
        <v>136948.1</v>
      </c>
      <c r="I662" s="19">
        <f>SUM(F662:H662)</f>
        <v>373377.39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92927.85</v>
      </c>
      <c r="G663" s="199">
        <f>SUM(G575:G587)+SUM(I602:I604)+L612</f>
        <v>1018640.3200000001</v>
      </c>
      <c r="H663" s="199">
        <f>SUM(H575:H587)+SUM(J602:J604)+L613</f>
        <v>1854940.8599999999</v>
      </c>
      <c r="I663" s="19">
        <f>SUM(F663:H663)</f>
        <v>2966509.0300000003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2919741.5300000003</v>
      </c>
      <c r="G664" s="19">
        <f>G660-SUM(G661:G663)</f>
        <v>200.58000000007451</v>
      </c>
      <c r="H664" s="19">
        <f>H660-SUM(H661:H663)</f>
        <v>433.91999999992549</v>
      </c>
      <c r="I664" s="19">
        <f>I660-SUM(I661:I663)</f>
        <v>2920376.0300000003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133.51</v>
      </c>
      <c r="G665" s="248"/>
      <c r="H665" s="248"/>
      <c r="I665" s="19">
        <f>SUM(F665:H665)</f>
        <v>133.51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21869.08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21873.84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-200.58</v>
      </c>
      <c r="H669" s="18">
        <v>-433.92</v>
      </c>
      <c r="I669" s="19">
        <f>SUM(F669:H669)</f>
        <v>-634.5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21869.08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21869.08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Normal="10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Madison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815851.12</v>
      </c>
      <c r="C9" s="229">
        <f>'DOE25'!G197+'DOE25'!G215+'DOE25'!G233+'DOE25'!G276+'DOE25'!G295+'DOE25'!G314</f>
        <v>365240.75</v>
      </c>
    </row>
    <row r="10" spans="1:3" x14ac:dyDescent="0.2">
      <c r="A10" t="s">
        <v>779</v>
      </c>
      <c r="B10" s="240">
        <f>773789.49+10128.04</f>
        <v>783917.53</v>
      </c>
      <c r="C10" s="240">
        <f>339805.85+942.82</f>
        <v>340748.67</v>
      </c>
    </row>
    <row r="11" spans="1:3" x14ac:dyDescent="0.2">
      <c r="A11" t="s">
        <v>780</v>
      </c>
      <c r="B11" s="240">
        <f>27309.66+4623.93</f>
        <v>31933.59</v>
      </c>
      <c r="C11" s="240">
        <v>24492.080000000002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815851.12</v>
      </c>
      <c r="C13" s="231">
        <f>SUM(C10:C12)</f>
        <v>365240.75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230302.94</v>
      </c>
      <c r="C18" s="229">
        <f>'DOE25'!G198+'DOE25'!G216+'DOE25'!G234+'DOE25'!G277+'DOE25'!G296+'DOE25'!G315</f>
        <v>96118.87</v>
      </c>
    </row>
    <row r="19" spans="1:3" x14ac:dyDescent="0.2">
      <c r="A19" t="s">
        <v>779</v>
      </c>
      <c r="B19" s="240">
        <v>111799.87</v>
      </c>
      <c r="C19" s="240">
        <v>34116.07</v>
      </c>
    </row>
    <row r="20" spans="1:3" x14ac:dyDescent="0.2">
      <c r="A20" t="s">
        <v>780</v>
      </c>
      <c r="B20" s="240">
        <v>118503.07</v>
      </c>
      <c r="C20" s="240">
        <v>62002.8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230302.94</v>
      </c>
      <c r="C22" s="231">
        <f>SUM(C19:C21)</f>
        <v>96118.87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51831.72</v>
      </c>
      <c r="C36" s="235">
        <f>'DOE25'!G200+'DOE25'!G218+'DOE25'!G236+'DOE25'!G279+'DOE25'!G298+'DOE25'!G317</f>
        <v>5369.14</v>
      </c>
    </row>
    <row r="37" spans="1:3" x14ac:dyDescent="0.2">
      <c r="A37" t="s">
        <v>779</v>
      </c>
      <c r="B37" s="240">
        <f>43127.13+8704.59</f>
        <v>51831.72</v>
      </c>
      <c r="C37" s="240">
        <f>4357.76+1011.38</f>
        <v>5369.14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51831.72</v>
      </c>
      <c r="C40" s="231">
        <f>SUM(C37:C39)</f>
        <v>5369.14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10" zoomScaleNormal="110" workbookViewId="0">
      <pane ySplit="4" topLeftCell="A5" activePane="bottomLeft" state="frozen"/>
      <selection activeCell="F46" sqref="F46"/>
      <selection pane="bottomLeft" activeCell="E35" sqref="E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Madison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4605369.87</v>
      </c>
      <c r="D5" s="20">
        <f>SUM('DOE25'!L197:L200)+SUM('DOE25'!L215:L218)+SUM('DOE25'!L233:L236)-F5-G5</f>
        <v>4596411.3899999997</v>
      </c>
      <c r="E5" s="243"/>
      <c r="F5" s="255">
        <f>SUM('DOE25'!J197:J200)+SUM('DOE25'!J215:J218)+SUM('DOE25'!J233:J236)</f>
        <v>8648.48</v>
      </c>
      <c r="G5" s="53">
        <f>SUM('DOE25'!K197:K200)+SUM('DOE25'!K215:K218)+SUM('DOE25'!K233:K236)</f>
        <v>310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277424.77</v>
      </c>
      <c r="D6" s="20">
        <f>'DOE25'!L202+'DOE25'!L220+'DOE25'!L238-F6-G6</f>
        <v>276585.43</v>
      </c>
      <c r="E6" s="243"/>
      <c r="F6" s="255">
        <f>'DOE25'!J202+'DOE25'!J220+'DOE25'!J238</f>
        <v>524.34</v>
      </c>
      <c r="G6" s="53">
        <f>'DOE25'!K202+'DOE25'!K220+'DOE25'!K238</f>
        <v>315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105119.45999999999</v>
      </c>
      <c r="D7" s="20">
        <f>'DOE25'!L203+'DOE25'!L221+'DOE25'!L239-F7-G7</f>
        <v>105119.45999999999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155461.91999999998</v>
      </c>
      <c r="D8" s="243"/>
      <c r="E8" s="20">
        <f>'DOE25'!L204+'DOE25'!L222+'DOE25'!L240-F8-G8-D9-D11</f>
        <v>152390.72999999998</v>
      </c>
      <c r="F8" s="255">
        <f>'DOE25'!J204+'DOE25'!J222+'DOE25'!J240</f>
        <v>0</v>
      </c>
      <c r="G8" s="53">
        <f>'DOE25'!K204+'DOE25'!K222+'DOE25'!K240</f>
        <v>3071.19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24079.08</v>
      </c>
      <c r="D9" s="244">
        <v>24079.08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8000</v>
      </c>
      <c r="D10" s="243"/>
      <c r="E10" s="244">
        <v>8000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72807.08</v>
      </c>
      <c r="D11" s="244">
        <v>72807.08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184290.86000000002</v>
      </c>
      <c r="D12" s="20">
        <f>'DOE25'!L205+'DOE25'!L223+'DOE25'!L241-F12-G12</f>
        <v>183951.40000000002</v>
      </c>
      <c r="E12" s="243"/>
      <c r="F12" s="255">
        <f>'DOE25'!J205+'DOE25'!J223+'DOE25'!J241</f>
        <v>0</v>
      </c>
      <c r="G12" s="53">
        <f>'DOE25'!K205+'DOE25'!K223+'DOE25'!K241</f>
        <v>339.46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287788</v>
      </c>
      <c r="D14" s="20">
        <f>'DOE25'!L207+'DOE25'!L225+'DOE25'!L243-F14-G14</f>
        <v>285826.02</v>
      </c>
      <c r="E14" s="243"/>
      <c r="F14" s="255">
        <f>'DOE25'!J207+'DOE25'!J225+'DOE25'!J243</f>
        <v>1961.98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374560.43000000005</v>
      </c>
      <c r="D15" s="20">
        <f>'DOE25'!L208+'DOE25'!L226+'DOE25'!L244-F15-G15</f>
        <v>373377.39000000007</v>
      </c>
      <c r="E15" s="243"/>
      <c r="F15" s="255">
        <f>'DOE25'!J208+'DOE25'!J226+'DOE25'!J244</f>
        <v>1183.04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93839.16</v>
      </c>
      <c r="D29" s="20">
        <f>'DOE25'!L358+'DOE25'!L359+'DOE25'!L360-'DOE25'!I367-F29-G29</f>
        <v>93839.16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103469.18000000001</v>
      </c>
      <c r="D31" s="20">
        <f>'DOE25'!L290+'DOE25'!L309+'DOE25'!L328+'DOE25'!L333+'DOE25'!L334+'DOE25'!L335-F31-G31</f>
        <v>80335.61</v>
      </c>
      <c r="E31" s="243"/>
      <c r="F31" s="255">
        <f>'DOE25'!J290+'DOE25'!J309+'DOE25'!J328+'DOE25'!J333+'DOE25'!J334+'DOE25'!J335</f>
        <v>19414.61</v>
      </c>
      <c r="G31" s="53">
        <f>'DOE25'!K290+'DOE25'!K309+'DOE25'!K328+'DOE25'!K333+'DOE25'!K334+'DOE25'!K335</f>
        <v>3718.96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6092332.0199999996</v>
      </c>
      <c r="E33" s="246">
        <f>SUM(E5:E31)</f>
        <v>160390.72999999998</v>
      </c>
      <c r="F33" s="246">
        <f>SUM(F5:F31)</f>
        <v>31732.45</v>
      </c>
      <c r="G33" s="246">
        <f>SUM(G5:G31)</f>
        <v>7754.6100000000006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160390.72999999998</v>
      </c>
      <c r="E35" s="249"/>
    </row>
    <row r="36" spans="2:8" ht="12" thickTop="1" x14ac:dyDescent="0.2">
      <c r="B36" t="s">
        <v>815</v>
      </c>
      <c r="D36" s="20">
        <f>D33</f>
        <v>6092332.0199999996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112949.28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102542.86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-25191.37</v>
      </c>
      <c r="D11" s="95">
        <f>'DOE25'!G12</f>
        <v>-6954.74</v>
      </c>
      <c r="E11" s="95">
        <f>'DOE25'!H12</f>
        <v>32146.11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5973.75</v>
      </c>
      <c r="D12" s="95">
        <f>'DOE25'!G13</f>
        <v>7210.16</v>
      </c>
      <c r="E12" s="95">
        <f>'DOE25'!H13</f>
        <v>9793.2000000000007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9063.2800000000007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95482.3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198277.24</v>
      </c>
      <c r="D18" s="41">
        <f>SUM(D8:D17)</f>
        <v>255.42000000000007</v>
      </c>
      <c r="E18" s="41">
        <f>SUM(E8:E17)</f>
        <v>41939.31</v>
      </c>
      <c r="F18" s="41">
        <f>SUM(F8:F17)</f>
        <v>0</v>
      </c>
      <c r="G18" s="41">
        <f>SUM(G8:G17)</f>
        <v>102542.86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313.55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7079.75</v>
      </c>
      <c r="D23" s="95">
        <f>'DOE25'!G24</f>
        <v>255.42</v>
      </c>
      <c r="E23" s="95">
        <f>'DOE25'!H24</f>
        <v>222.3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41403.46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7079.75</v>
      </c>
      <c r="D31" s="41">
        <f>SUM(D21:D30)</f>
        <v>255.42</v>
      </c>
      <c r="E31" s="41">
        <f>SUM(E21:E30)</f>
        <v>41939.31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48680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18320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102542.86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29834.6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94362.89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191197.49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102542.86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198277.24</v>
      </c>
      <c r="D51" s="41">
        <f>D50+D31</f>
        <v>255.42</v>
      </c>
      <c r="E51" s="41">
        <f>E50+E31</f>
        <v>41939.31</v>
      </c>
      <c r="F51" s="41">
        <f>F50+F31</f>
        <v>0</v>
      </c>
      <c r="G51" s="41">
        <f>G50+G31</f>
        <v>102542.86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4070774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6455.68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34.619999999999997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26636.44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37725.78</v>
      </c>
      <c r="D61" s="95">
        <f>SUM('DOE25'!G98:G110)</f>
        <v>38977.33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44216.08</v>
      </c>
      <c r="D62" s="130">
        <f>SUM(D57:D61)</f>
        <v>65613.77</v>
      </c>
      <c r="E62" s="130">
        <f>SUM(E57:E61)</f>
        <v>0</v>
      </c>
      <c r="F62" s="130">
        <f>SUM(F57:F61)</f>
        <v>0</v>
      </c>
      <c r="G62" s="130">
        <f>SUM(G57:G61)</f>
        <v>42.86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4114990.08</v>
      </c>
      <c r="D63" s="22">
        <f>D56+D62</f>
        <v>65613.77</v>
      </c>
      <c r="E63" s="22">
        <f>E56+E62</f>
        <v>0</v>
      </c>
      <c r="F63" s="22">
        <f>F56+F62</f>
        <v>0</v>
      </c>
      <c r="G63" s="22">
        <f>G56+G62</f>
        <v>42.86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578239.86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1105334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1683573.8599999999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88049.8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3029.99</v>
      </c>
      <c r="D77" s="95">
        <f>SUM('DOE25'!G131:G135)</f>
        <v>7048.66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91079.790000000008</v>
      </c>
      <c r="D78" s="130">
        <f>SUM(D72:D77)</f>
        <v>7048.66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1774653.65</v>
      </c>
      <c r="D81" s="130">
        <f>SUM(D79:D80)+D78+D70</f>
        <v>7048.66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55854.080000000002</v>
      </c>
      <c r="D88" s="95">
        <f>SUM('DOE25'!G153:G161)</f>
        <v>45613.25</v>
      </c>
      <c r="E88" s="95">
        <f>SUM('DOE25'!H153:H161)</f>
        <v>103469.18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55854.080000000002</v>
      </c>
      <c r="D91" s="131">
        <f>SUM(D85:D90)</f>
        <v>45613.25</v>
      </c>
      <c r="E91" s="131">
        <f>SUM(E85:E90)</f>
        <v>103469.18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17229.89</v>
      </c>
      <c r="E96" s="95">
        <f>'DOE25'!H179</f>
        <v>0</v>
      </c>
      <c r="F96" s="95">
        <f>'DOE25'!I179</f>
        <v>0</v>
      </c>
      <c r="G96" s="95">
        <f>'DOE25'!J179</f>
        <v>102500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82788.710000000006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82788.710000000006</v>
      </c>
      <c r="D103" s="86">
        <f>SUM(D93:D102)</f>
        <v>17229.89</v>
      </c>
      <c r="E103" s="86">
        <f>SUM(E93:E102)</f>
        <v>0</v>
      </c>
      <c r="F103" s="86">
        <f>SUM(F93:F102)</f>
        <v>0</v>
      </c>
      <c r="G103" s="86">
        <f>SUM(G93:G102)</f>
        <v>102500</v>
      </c>
    </row>
    <row r="104" spans="1:7" ht="12.75" thickTop="1" thickBot="1" x14ac:dyDescent="0.25">
      <c r="A104" s="33" t="s">
        <v>765</v>
      </c>
      <c r="C104" s="86">
        <f>C63+C81+C91+C103</f>
        <v>6028286.5200000005</v>
      </c>
      <c r="D104" s="86">
        <f>D63+D81+D91+D103</f>
        <v>135505.57</v>
      </c>
      <c r="E104" s="86">
        <f>E63+E81+E91+E103</f>
        <v>103469.18</v>
      </c>
      <c r="F104" s="86">
        <f>F63+F81+F91+F103</f>
        <v>0</v>
      </c>
      <c r="G104" s="86">
        <f>G63+G81+G103</f>
        <v>102542.86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3695726.79</v>
      </c>
      <c r="D109" s="24" t="s">
        <v>289</v>
      </c>
      <c r="E109" s="95">
        <f>('DOE25'!L276)+('DOE25'!L295)+('DOE25'!L314)</f>
        <v>62123.630000000005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860609.2300000001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49033.85</v>
      </c>
      <c r="D112" s="24" t="s">
        <v>289</v>
      </c>
      <c r="E112" s="95">
        <f>+('DOE25'!L279)+('DOE25'!L298)+('DOE25'!L317)</f>
        <v>20878.73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4605369.87</v>
      </c>
      <c r="D115" s="86">
        <f>SUM(D109:D114)</f>
        <v>0</v>
      </c>
      <c r="E115" s="86">
        <f>SUM(E109:E114)</f>
        <v>83002.36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277424.77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105119.45999999999</v>
      </c>
      <c r="D119" s="24" t="s">
        <v>289</v>
      </c>
      <c r="E119" s="95">
        <f>+('DOE25'!L282)+('DOE25'!L301)+('DOE25'!L320)</f>
        <v>18119.36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252348.08000000002</v>
      </c>
      <c r="D120" s="24" t="s">
        <v>289</v>
      </c>
      <c r="E120" s="95">
        <f>+('DOE25'!L283)+('DOE25'!L302)+('DOE25'!L321)</f>
        <v>2347.46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184290.86000000002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287788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374560.43000000005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135505.57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1481531.6</v>
      </c>
      <c r="D128" s="86">
        <f>SUM(D118:D127)</f>
        <v>135505.57</v>
      </c>
      <c r="E128" s="86">
        <f>SUM(E118:E127)</f>
        <v>20466.82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17229.89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82528.509999999995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20014.350000000002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-42.860000000000582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119729.89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6206631.3600000003</v>
      </c>
      <c r="D145" s="86">
        <f>(D115+D128+D144)</f>
        <v>135505.57</v>
      </c>
      <c r="E145" s="86">
        <f>(E115+E128+E144)</f>
        <v>103469.18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Madison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21869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21869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3757850</v>
      </c>
      <c r="D10" s="182">
        <f>ROUND((C10/$C$28)*100,1)</f>
        <v>60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860609</v>
      </c>
      <c r="D11" s="182">
        <f>ROUND((C11/$C$28)*100,1)</f>
        <v>13.7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69913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277425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123239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254696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184291</v>
      </c>
      <c r="D18" s="182">
        <f t="shared" si="0"/>
        <v>2.9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287788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374560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69892.23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6260263.2300000004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6260263.2300000004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4070774</v>
      </c>
      <c r="D35" s="182">
        <f t="shared" ref="D35:D40" si="1">ROUND((C35/$C$41)*100,1)</f>
        <v>66.7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44258.939999999944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1683574</v>
      </c>
      <c r="D37" s="182">
        <f t="shared" si="1"/>
        <v>27.6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98128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204937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6101671.9399999995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Madison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2016-09-09T15:24:17Z</cp:lastPrinted>
  <dcterms:created xsi:type="dcterms:W3CDTF">1997-12-04T19:04:30Z</dcterms:created>
  <dcterms:modified xsi:type="dcterms:W3CDTF">2017-01-03T17:29:15Z</dcterms:modified>
</cp:coreProperties>
</file>