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8800" windowHeight="1144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79" i="1" l="1"/>
  <c r="H582" i="1"/>
  <c r="G582" i="1"/>
  <c r="G580" i="1"/>
  <c r="G579" i="1"/>
  <c r="F582" i="1"/>
  <c r="F579" i="1"/>
  <c r="H161" i="1" l="1"/>
  <c r="C28" i="12" l="1"/>
  <c r="C30" i="12"/>
  <c r="B30" i="12"/>
  <c r="B28" i="12"/>
  <c r="C20" i="12"/>
  <c r="C21" i="12"/>
  <c r="C19" i="12"/>
  <c r="B21" i="12"/>
  <c r="B19" i="12"/>
  <c r="C11" i="12"/>
  <c r="C12" i="12"/>
  <c r="C10" i="12"/>
  <c r="B12" i="12"/>
  <c r="B10" i="12"/>
  <c r="H400" i="1" l="1"/>
  <c r="F12" i="1" l="1"/>
  <c r="B20" i="12" l="1"/>
  <c r="F36" i="1" l="1"/>
  <c r="F24" i="1"/>
  <c r="F17" i="1"/>
  <c r="H523" i="1"/>
  <c r="H522" i="1"/>
  <c r="H521" i="1"/>
  <c r="G523" i="1"/>
  <c r="G522" i="1"/>
  <c r="G521" i="1"/>
  <c r="F523" i="1"/>
  <c r="F522" i="1"/>
  <c r="F521" i="1"/>
  <c r="H533" i="1" l="1"/>
  <c r="F531" i="1"/>
  <c r="H528" i="1"/>
  <c r="H527" i="1"/>
  <c r="H526" i="1"/>
  <c r="G528" i="1"/>
  <c r="G527" i="1"/>
  <c r="G526" i="1"/>
  <c r="F528" i="1"/>
  <c r="F527" i="1"/>
  <c r="F526" i="1"/>
  <c r="J523" i="1"/>
  <c r="J522" i="1"/>
  <c r="J521" i="1"/>
  <c r="I523" i="1"/>
  <c r="I522" i="1"/>
  <c r="I521" i="1"/>
  <c r="K523" i="1"/>
  <c r="J604" i="1" l="1"/>
  <c r="I239" i="1"/>
  <c r="I526" i="1" l="1"/>
  <c r="F197" i="1" l="1"/>
  <c r="H207" i="1"/>
  <c r="H243" i="1"/>
  <c r="H225" i="1"/>
  <c r="G233" i="1" l="1"/>
  <c r="G215" i="1"/>
  <c r="G197" i="1"/>
  <c r="H102" i="1" l="1"/>
  <c r="I564" i="1"/>
  <c r="H564" i="1"/>
  <c r="G564" i="1"/>
  <c r="F564" i="1"/>
  <c r="I563" i="1"/>
  <c r="H563" i="1"/>
  <c r="G563" i="1"/>
  <c r="F563" i="1"/>
  <c r="I562" i="1"/>
  <c r="H562" i="1"/>
  <c r="G562" i="1"/>
  <c r="F562" i="1"/>
  <c r="J564" i="1"/>
  <c r="J563" i="1"/>
  <c r="J562" i="1"/>
  <c r="F557" i="1"/>
  <c r="G559" i="1"/>
  <c r="F559" i="1"/>
  <c r="J558" i="1"/>
  <c r="I558" i="1"/>
  <c r="H558" i="1"/>
  <c r="G558" i="1"/>
  <c r="F558" i="1"/>
  <c r="J557" i="1"/>
  <c r="I557" i="1"/>
  <c r="H557" i="1"/>
  <c r="G557" i="1"/>
  <c r="K559" i="1"/>
  <c r="J559" i="1"/>
  <c r="I559" i="1"/>
  <c r="H559" i="1"/>
  <c r="K558" i="1"/>
  <c r="K557" i="1"/>
  <c r="H613" i="1" l="1"/>
  <c r="H612" i="1"/>
  <c r="H611" i="1"/>
  <c r="I358" i="1" l="1"/>
  <c r="F358" i="1"/>
  <c r="I360" i="1"/>
  <c r="H360" i="1"/>
  <c r="G360" i="1"/>
  <c r="F360" i="1"/>
  <c r="G359" i="1"/>
  <c r="F359" i="1"/>
  <c r="I359" i="1"/>
  <c r="H359" i="1"/>
  <c r="H358" i="1"/>
  <c r="G358" i="1"/>
  <c r="G158" i="1" l="1"/>
  <c r="G97" i="1"/>
  <c r="G30" i="1"/>
  <c r="G40" i="1"/>
  <c r="G9" i="1"/>
  <c r="F9" i="1" l="1"/>
  <c r="F110" i="1"/>
  <c r="F63" i="1"/>
  <c r="F68" i="1"/>
  <c r="F29" i="1" l="1"/>
  <c r="F14" i="1"/>
  <c r="F13" i="1"/>
  <c r="F465" i="1"/>
  <c r="J595" i="1" l="1"/>
  <c r="J592" i="1"/>
  <c r="J591" i="1"/>
  <c r="I595" i="1"/>
  <c r="I592" i="1"/>
  <c r="I591" i="1"/>
  <c r="H592" i="1"/>
  <c r="H591" i="1"/>
  <c r="H236" i="1" l="1"/>
  <c r="H218" i="1"/>
  <c r="K236" i="1"/>
  <c r="I236" i="1"/>
  <c r="G236" i="1"/>
  <c r="F236" i="1"/>
  <c r="K245" i="1"/>
  <c r="J245" i="1"/>
  <c r="I245" i="1"/>
  <c r="H245" i="1"/>
  <c r="G245" i="1"/>
  <c r="F245" i="1"/>
  <c r="I243" i="1"/>
  <c r="I242" i="1"/>
  <c r="H242" i="1"/>
  <c r="G242" i="1"/>
  <c r="F242" i="1"/>
  <c r="I241" i="1"/>
  <c r="H241" i="1"/>
  <c r="G241" i="1"/>
  <c r="I240" i="1"/>
  <c r="H240" i="1"/>
  <c r="G240" i="1"/>
  <c r="F240" i="1"/>
  <c r="H239" i="1"/>
  <c r="G239" i="1"/>
  <c r="F239" i="1"/>
  <c r="H238" i="1"/>
  <c r="G238" i="1"/>
  <c r="F238" i="1"/>
  <c r="K234" i="1"/>
  <c r="J234" i="1"/>
  <c r="I234" i="1"/>
  <c r="H234" i="1"/>
  <c r="G234" i="1"/>
  <c r="F234" i="1"/>
  <c r="K233" i="1"/>
  <c r="H233" i="1"/>
  <c r="F233" i="1"/>
  <c r="I218" i="1"/>
  <c r="G218" i="1"/>
  <c r="F218" i="1"/>
  <c r="K227" i="1"/>
  <c r="J227" i="1"/>
  <c r="I227" i="1"/>
  <c r="H227" i="1"/>
  <c r="F227" i="1"/>
  <c r="I225" i="1"/>
  <c r="I224" i="1"/>
  <c r="H224" i="1"/>
  <c r="G224" i="1"/>
  <c r="F224" i="1"/>
  <c r="I223" i="1"/>
  <c r="H223" i="1"/>
  <c r="G223" i="1"/>
  <c r="I222" i="1"/>
  <c r="H222" i="1"/>
  <c r="G222" i="1"/>
  <c r="F222" i="1"/>
  <c r="I221" i="1"/>
  <c r="H221" i="1"/>
  <c r="G221" i="1"/>
  <c r="F221" i="1"/>
  <c r="H220" i="1"/>
  <c r="G220" i="1"/>
  <c r="F220" i="1"/>
  <c r="K216" i="1"/>
  <c r="J216" i="1"/>
  <c r="I216" i="1"/>
  <c r="H216" i="1"/>
  <c r="G216" i="1"/>
  <c r="F216" i="1"/>
  <c r="K215" i="1"/>
  <c r="H215" i="1"/>
  <c r="F215" i="1"/>
  <c r="J209" i="1"/>
  <c r="I209" i="1"/>
  <c r="H209" i="1"/>
  <c r="G209" i="1"/>
  <c r="F209" i="1"/>
  <c r="I207" i="1"/>
  <c r="I206" i="1"/>
  <c r="H206" i="1"/>
  <c r="G206" i="1"/>
  <c r="F206" i="1"/>
  <c r="I205" i="1"/>
  <c r="H205" i="1"/>
  <c r="G205" i="1"/>
  <c r="K204" i="1"/>
  <c r="I204" i="1"/>
  <c r="H204" i="1"/>
  <c r="G204" i="1"/>
  <c r="F204" i="1"/>
  <c r="I203" i="1"/>
  <c r="H203" i="1"/>
  <c r="G203" i="1"/>
  <c r="F203" i="1"/>
  <c r="H202" i="1"/>
  <c r="G202" i="1"/>
  <c r="F202" i="1"/>
  <c r="K198" i="1"/>
  <c r="J198" i="1"/>
  <c r="I198" i="1"/>
  <c r="H198" i="1"/>
  <c r="G198" i="1"/>
  <c r="F198" i="1"/>
  <c r="K197" i="1"/>
  <c r="H197" i="1"/>
  <c r="J251" i="1" l="1"/>
  <c r="H251" i="1"/>
  <c r="K241" i="1"/>
  <c r="F241" i="1"/>
  <c r="K223" i="1"/>
  <c r="F223" i="1"/>
  <c r="K205" i="1"/>
  <c r="F205" i="1"/>
  <c r="I202" i="1"/>
  <c r="J218" i="1"/>
  <c r="G200" i="1"/>
  <c r="F200" i="1"/>
  <c r="I235" i="1"/>
  <c r="H235" i="1"/>
  <c r="G235" i="1"/>
  <c r="F235" i="1"/>
  <c r="I217" i="1"/>
  <c r="G217" i="1"/>
  <c r="F217" i="1"/>
  <c r="J233" i="1"/>
  <c r="I233" i="1"/>
  <c r="I215" i="1"/>
  <c r="J197" i="1"/>
  <c r="I197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D14" i="13" s="1"/>
  <c r="C14" i="13" s="1"/>
  <c r="L243" i="1"/>
  <c r="F15" i="13"/>
  <c r="G15" i="13"/>
  <c r="L208" i="1"/>
  <c r="L226" i="1"/>
  <c r="G650" i="1" s="1"/>
  <c r="L244" i="1"/>
  <c r="G651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1" i="10"/>
  <c r="C12" i="10"/>
  <c r="L250" i="1"/>
  <c r="L332" i="1"/>
  <c r="L254" i="1"/>
  <c r="L268" i="1"/>
  <c r="C142" i="2" s="1"/>
  <c r="L269" i="1"/>
  <c r="L349" i="1"/>
  <c r="L350" i="1"/>
  <c r="I665" i="1"/>
  <c r="I670" i="1"/>
  <c r="I669" i="1"/>
  <c r="C42" i="10"/>
  <c r="C32" i="10"/>
  <c r="L374" i="1"/>
  <c r="L375" i="1"/>
  <c r="L376" i="1"/>
  <c r="L377" i="1"/>
  <c r="F130" i="2" s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E111" i="2"/>
  <c r="C113" i="2"/>
  <c r="E113" i="2"/>
  <c r="D115" i="2"/>
  <c r="F115" i="2"/>
  <c r="G115" i="2"/>
  <c r="E119" i="2"/>
  <c r="E120" i="2"/>
  <c r="E121" i="2"/>
  <c r="E123" i="2"/>
  <c r="E124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G620" i="1" s="1"/>
  <c r="F32" i="1"/>
  <c r="G32" i="1"/>
  <c r="G52" i="1" s="1"/>
  <c r="H618" i="1" s="1"/>
  <c r="H32" i="1"/>
  <c r="I32" i="1"/>
  <c r="H51" i="1"/>
  <c r="I51" i="1"/>
  <c r="G625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F460" i="1"/>
  <c r="F461" i="1" s="1"/>
  <c r="H639" i="1" s="1"/>
  <c r="G460" i="1"/>
  <c r="G461" i="1" s="1"/>
  <c r="H640" i="1" s="1"/>
  <c r="H460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3" i="1"/>
  <c r="H643" i="1"/>
  <c r="G644" i="1"/>
  <c r="H644" i="1"/>
  <c r="G645" i="1"/>
  <c r="G652" i="1"/>
  <c r="H652" i="1"/>
  <c r="G653" i="1"/>
  <c r="H653" i="1"/>
  <c r="G654" i="1"/>
  <c r="H654" i="1"/>
  <c r="H655" i="1"/>
  <c r="J655" i="1" s="1"/>
  <c r="F78" i="2"/>
  <c r="D50" i="2"/>
  <c r="D91" i="2"/>
  <c r="G62" i="2"/>
  <c r="D19" i="13"/>
  <c r="C19" i="13" s="1"/>
  <c r="E78" i="2"/>
  <c r="I169" i="1"/>
  <c r="G552" i="1"/>
  <c r="J140" i="1"/>
  <c r="G22" i="2"/>
  <c r="H140" i="1"/>
  <c r="A13" i="12"/>
  <c r="G36" i="2"/>
  <c r="F476" i="1" l="1"/>
  <c r="H622" i="1" s="1"/>
  <c r="J644" i="1"/>
  <c r="L401" i="1"/>
  <c r="C139" i="2" s="1"/>
  <c r="E103" i="2"/>
  <c r="I476" i="1"/>
  <c r="H625" i="1" s="1"/>
  <c r="J625" i="1" s="1"/>
  <c r="H192" i="1"/>
  <c r="J476" i="1"/>
  <c r="H626" i="1" s="1"/>
  <c r="K549" i="1"/>
  <c r="L529" i="1"/>
  <c r="H552" i="1"/>
  <c r="J552" i="1"/>
  <c r="I552" i="1"/>
  <c r="F18" i="2"/>
  <c r="E122" i="2"/>
  <c r="J545" i="1"/>
  <c r="K545" i="1"/>
  <c r="C13" i="10"/>
  <c r="G476" i="1"/>
  <c r="H623" i="1" s="1"/>
  <c r="J639" i="1"/>
  <c r="L544" i="1"/>
  <c r="J640" i="1"/>
  <c r="F192" i="1"/>
  <c r="C114" i="2"/>
  <c r="E31" i="2"/>
  <c r="K550" i="1"/>
  <c r="F22" i="13"/>
  <c r="C22" i="13" s="1"/>
  <c r="E81" i="2"/>
  <c r="C26" i="10"/>
  <c r="H571" i="1"/>
  <c r="L534" i="1"/>
  <c r="K503" i="1"/>
  <c r="J623" i="1"/>
  <c r="L433" i="1"/>
  <c r="C29" i="10"/>
  <c r="F81" i="2"/>
  <c r="J636" i="1"/>
  <c r="K605" i="1"/>
  <c r="G648" i="1" s="1"/>
  <c r="L570" i="1"/>
  <c r="L539" i="1"/>
  <c r="I460" i="1"/>
  <c r="I452" i="1"/>
  <c r="I446" i="1"/>
  <c r="G642" i="1" s="1"/>
  <c r="K551" i="1"/>
  <c r="F552" i="1"/>
  <c r="L524" i="1"/>
  <c r="H545" i="1"/>
  <c r="G545" i="1"/>
  <c r="I545" i="1"/>
  <c r="H461" i="1"/>
  <c r="H641" i="1" s="1"/>
  <c r="J641" i="1" s="1"/>
  <c r="L427" i="1"/>
  <c r="L419" i="1"/>
  <c r="J645" i="1"/>
  <c r="I52" i="1"/>
  <c r="H620" i="1" s="1"/>
  <c r="D18" i="2"/>
  <c r="H169" i="1"/>
  <c r="E62" i="2"/>
  <c r="E63" i="2" s="1"/>
  <c r="E114" i="2"/>
  <c r="H661" i="1"/>
  <c r="C122" i="2"/>
  <c r="L270" i="1"/>
  <c r="C78" i="2"/>
  <c r="D62" i="2"/>
  <c r="D63" i="2" s="1"/>
  <c r="A31" i="12"/>
  <c r="K571" i="1"/>
  <c r="J643" i="1"/>
  <c r="L565" i="1"/>
  <c r="L571" i="1" s="1"/>
  <c r="F571" i="1"/>
  <c r="G164" i="2"/>
  <c r="G161" i="2"/>
  <c r="G156" i="2"/>
  <c r="G617" i="1"/>
  <c r="L290" i="1"/>
  <c r="E118" i="2"/>
  <c r="E128" i="2" s="1"/>
  <c r="L309" i="1"/>
  <c r="H338" i="1"/>
  <c r="H352" i="1" s="1"/>
  <c r="F338" i="1"/>
  <c r="F352" i="1" s="1"/>
  <c r="J338" i="1"/>
  <c r="J352" i="1" s="1"/>
  <c r="L328" i="1"/>
  <c r="E112" i="2"/>
  <c r="E109" i="2"/>
  <c r="G338" i="1"/>
  <c r="G352" i="1" s="1"/>
  <c r="H476" i="1"/>
  <c r="H624" i="1" s="1"/>
  <c r="H112" i="1"/>
  <c r="H52" i="1"/>
  <c r="H619" i="1" s="1"/>
  <c r="L560" i="1"/>
  <c r="J571" i="1"/>
  <c r="I571" i="1"/>
  <c r="L614" i="1"/>
  <c r="I369" i="1"/>
  <c r="H634" i="1" s="1"/>
  <c r="J634" i="1" s="1"/>
  <c r="L362" i="1"/>
  <c r="C27" i="10" s="1"/>
  <c r="G661" i="1"/>
  <c r="D29" i="13"/>
  <c r="C29" i="13" s="1"/>
  <c r="D127" i="2"/>
  <c r="D128" i="2" s="1"/>
  <c r="D145" i="2" s="1"/>
  <c r="F661" i="1"/>
  <c r="C81" i="2"/>
  <c r="F112" i="1"/>
  <c r="C62" i="2"/>
  <c r="C63" i="2" s="1"/>
  <c r="C35" i="10"/>
  <c r="C18" i="2"/>
  <c r="C132" i="2"/>
  <c r="H25" i="13"/>
  <c r="C25" i="13" s="1"/>
  <c r="C123" i="2"/>
  <c r="E16" i="13"/>
  <c r="C16" i="13" s="1"/>
  <c r="C125" i="2"/>
  <c r="D6" i="13"/>
  <c r="C6" i="13" s="1"/>
  <c r="C109" i="2"/>
  <c r="E13" i="13"/>
  <c r="C13" i="13" s="1"/>
  <c r="C19" i="10"/>
  <c r="C17" i="10"/>
  <c r="L256" i="1"/>
  <c r="C20" i="10"/>
  <c r="C18" i="10"/>
  <c r="C121" i="2"/>
  <c r="D12" i="13"/>
  <c r="C12" i="13" s="1"/>
  <c r="C120" i="2"/>
  <c r="E8" i="13"/>
  <c r="C8" i="13" s="1"/>
  <c r="D7" i="13"/>
  <c r="C7" i="13" s="1"/>
  <c r="C16" i="10"/>
  <c r="C119" i="2"/>
  <c r="C15" i="10"/>
  <c r="C118" i="2"/>
  <c r="C112" i="2"/>
  <c r="K257" i="1"/>
  <c r="K271" i="1" s="1"/>
  <c r="C111" i="2"/>
  <c r="J257" i="1"/>
  <c r="J271" i="1" s="1"/>
  <c r="L247" i="1"/>
  <c r="I257" i="1"/>
  <c r="I271" i="1" s="1"/>
  <c r="L229" i="1"/>
  <c r="C10" i="10"/>
  <c r="D5" i="13"/>
  <c r="C5" i="13" s="1"/>
  <c r="C21" i="10"/>
  <c r="H257" i="1"/>
  <c r="H271" i="1" s="1"/>
  <c r="K598" i="1"/>
  <c r="G647" i="1" s="1"/>
  <c r="J651" i="1"/>
  <c r="G257" i="1"/>
  <c r="G271" i="1" s="1"/>
  <c r="H662" i="1"/>
  <c r="F257" i="1"/>
  <c r="F271" i="1" s="1"/>
  <c r="G662" i="1"/>
  <c r="D15" i="13"/>
  <c r="C15" i="13" s="1"/>
  <c r="L211" i="1"/>
  <c r="G649" i="1"/>
  <c r="J649" i="1" s="1"/>
  <c r="H647" i="1"/>
  <c r="C124" i="2"/>
  <c r="F662" i="1"/>
  <c r="G624" i="1"/>
  <c r="K500" i="1"/>
  <c r="G11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I140" i="1"/>
  <c r="I193" i="1" s="1"/>
  <c r="G630" i="1" s="1"/>
  <c r="J630" i="1" s="1"/>
  <c r="A22" i="12"/>
  <c r="G50" i="2"/>
  <c r="J652" i="1"/>
  <c r="G571" i="1"/>
  <c r="I434" i="1"/>
  <c r="G434" i="1"/>
  <c r="I663" i="1"/>
  <c r="G635" i="1"/>
  <c r="J635" i="1" s="1"/>
  <c r="G51" i="2" l="1"/>
  <c r="L434" i="1"/>
  <c r="G638" i="1" s="1"/>
  <c r="J638" i="1" s="1"/>
  <c r="J624" i="1"/>
  <c r="D104" i="2"/>
  <c r="C39" i="10"/>
  <c r="H193" i="1"/>
  <c r="G629" i="1" s="1"/>
  <c r="J629" i="1" s="1"/>
  <c r="L545" i="1"/>
  <c r="E104" i="2"/>
  <c r="K552" i="1"/>
  <c r="H646" i="1"/>
  <c r="J646" i="1" s="1"/>
  <c r="E51" i="2"/>
  <c r="F104" i="2"/>
  <c r="I461" i="1"/>
  <c r="H642" i="1" s="1"/>
  <c r="J642" i="1" s="1"/>
  <c r="C36" i="10"/>
  <c r="F51" i="1"/>
  <c r="C49" i="2"/>
  <c r="C50" i="2" s="1"/>
  <c r="C51" i="2" s="1"/>
  <c r="G660" i="1"/>
  <c r="G664" i="1" s="1"/>
  <c r="L338" i="1"/>
  <c r="L352" i="1" s="1"/>
  <c r="G633" i="1" s="1"/>
  <c r="J633" i="1" s="1"/>
  <c r="E115" i="2"/>
  <c r="E145" i="2" s="1"/>
  <c r="H660" i="1"/>
  <c r="H664" i="1" s="1"/>
  <c r="I661" i="1"/>
  <c r="C104" i="2"/>
  <c r="F193" i="1"/>
  <c r="G627" i="1" s="1"/>
  <c r="J627" i="1" s="1"/>
  <c r="H33" i="13"/>
  <c r="C115" i="2"/>
  <c r="E33" i="13"/>
  <c r="D35" i="13" s="1"/>
  <c r="C128" i="2"/>
  <c r="H648" i="1"/>
  <c r="J648" i="1" s="1"/>
  <c r="L257" i="1"/>
  <c r="L271" i="1" s="1"/>
  <c r="G632" i="1" s="1"/>
  <c r="J632" i="1" s="1"/>
  <c r="C28" i="10"/>
  <c r="D22" i="10" s="1"/>
  <c r="J647" i="1"/>
  <c r="I662" i="1"/>
  <c r="F660" i="1"/>
  <c r="D31" i="13"/>
  <c r="C31" i="13" s="1"/>
  <c r="G104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22" i="1" l="1"/>
  <c r="J622" i="1" s="1"/>
  <c r="F52" i="1"/>
  <c r="H617" i="1" s="1"/>
  <c r="J617" i="1" s="1"/>
  <c r="I660" i="1"/>
  <c r="I664" i="1" s="1"/>
  <c r="I672" i="1" s="1"/>
  <c r="C7" i="10" s="1"/>
  <c r="C145" i="2"/>
  <c r="D17" i="10"/>
  <c r="D10" i="10"/>
  <c r="D23" i="10"/>
  <c r="C30" i="10"/>
  <c r="D27" i="10"/>
  <c r="D24" i="10"/>
  <c r="D18" i="10"/>
  <c r="D12" i="10"/>
  <c r="D26" i="10"/>
  <c r="D16" i="10"/>
  <c r="D20" i="10"/>
  <c r="D15" i="10"/>
  <c r="D25" i="10"/>
  <c r="D19" i="10"/>
  <c r="D13" i="10"/>
  <c r="D11" i="10"/>
  <c r="D21" i="10"/>
  <c r="H672" i="1"/>
  <c r="C6" i="10" s="1"/>
  <c r="H667" i="1"/>
  <c r="G667" i="1"/>
  <c r="G672" i="1"/>
  <c r="C5" i="10" s="1"/>
  <c r="F664" i="1"/>
  <c r="F667" i="1" s="1"/>
  <c r="D33" i="13"/>
  <c r="D36" i="13" s="1"/>
  <c r="C41" i="10"/>
  <c r="D38" i="10" s="1"/>
  <c r="H656" i="1" l="1"/>
  <c r="D28" i="10"/>
  <c r="I667" i="1"/>
  <c r="F672" i="1"/>
  <c r="C4" i="10" s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<sst xmlns="http://schemas.openxmlformats.org/spreadsheetml/2006/main" count="3955" uniqueCount="913">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</sst>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335</v>
      </c>
      <c r="C2" s="21">
        <v>335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200+3118480.36+21542.88+403.5-0.2</f>
        <v>3140626.5399999996</v>
      </c>
      <c r="G9" s="18">
        <f>137773.91+50</f>
        <v>137823.91</v>
      </c>
      <c r="H9" s="18">
        <v>1400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2615336.93+2592760</f>
        <v>5208096.93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31106362.56</f>
        <v>31106362.559999999</v>
      </c>
      <c r="G13" s="18">
        <v>134386.84</v>
      </c>
      <c r="H13" s="18">
        <v>15238.94</v>
      </c>
      <c r="I13" s="18"/>
      <c r="J13" s="67">
        <f>SUM(I442)</f>
        <v>3507187.66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15640.37+878742.48</f>
        <v>894382.85</v>
      </c>
      <c r="G14" s="18">
        <v>4269.25</v>
      </c>
      <c r="H14" s="18">
        <v>4423704.8600000003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29498.51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28498.93</f>
        <v>28498.93</v>
      </c>
      <c r="G17" s="18"/>
      <c r="H17" s="18">
        <v>240.5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40377967.810000002</v>
      </c>
      <c r="G19" s="41">
        <f>SUM(G9:G18)</f>
        <v>305978.51</v>
      </c>
      <c r="H19" s="41">
        <f>SUM(H9:H18)</f>
        <v>4440584.3000000007</v>
      </c>
      <c r="I19" s="41">
        <f>SUM(I9:I18)</f>
        <v>0</v>
      </c>
      <c r="J19" s="41">
        <f>SUM(J9:J18)</f>
        <v>3507187.66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24376.9</v>
      </c>
      <c r="H22" s="18">
        <v>2590960.0299999998</v>
      </c>
      <c r="I22" s="18"/>
      <c r="J22" s="67">
        <f>SUM(I448)</f>
        <v>2592760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872051.17</f>
        <v>872051.17</v>
      </c>
      <c r="G24" s="18">
        <v>25749.48</v>
      </c>
      <c r="H24" s="18">
        <v>271396.65999999997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2988646</v>
      </c>
      <c r="G28" s="18">
        <v>17594.72</v>
      </c>
      <c r="H28" s="18">
        <v>477374.48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-75170.64+303359.64+115878.03+31595.74+1382371.91+2518.74+9729.96+1247.54+7184.66</f>
        <v>1778715.5799999998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33113118.440000001</v>
      </c>
      <c r="G30" s="18">
        <f>27468.81+9910.34+11213.81+2255.85</f>
        <v>50848.81</v>
      </c>
      <c r="H30" s="18">
        <v>6500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38752531.189999998</v>
      </c>
      <c r="G32" s="41">
        <f>SUM(G22:G31)</f>
        <v>118569.91</v>
      </c>
      <c r="H32" s="41">
        <f>SUM(H22:H31)</f>
        <v>3346231.17</v>
      </c>
      <c r="I32" s="41">
        <f>SUM(I22:I31)</f>
        <v>0</v>
      </c>
      <c r="J32" s="41">
        <f>SUM(J22:J31)</f>
        <v>2592760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29498.51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f>28498.93</f>
        <v>28498.93</v>
      </c>
      <c r="G36" s="18"/>
      <c r="H36" s="18">
        <v>240.5</v>
      </c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157910.09</f>
        <v>157910.09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941700.47</v>
      </c>
      <c r="G48" s="18"/>
      <c r="H48" s="18">
        <v>1094112.6299999999</v>
      </c>
      <c r="I48" s="18"/>
      <c r="J48" s="13">
        <f>SUM(I459)</f>
        <v>914427.66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148376.22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506861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1625436.62</v>
      </c>
      <c r="G51" s="41">
        <f>SUM(G35:G50)</f>
        <v>187408.6</v>
      </c>
      <c r="H51" s="41">
        <f>SUM(H35:H50)</f>
        <v>1094353.1299999999</v>
      </c>
      <c r="I51" s="41">
        <f>SUM(I35:I50)</f>
        <v>0</v>
      </c>
      <c r="J51" s="41">
        <f>SUM(J35:J50)</f>
        <v>914427.66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40377967.809999995</v>
      </c>
      <c r="G52" s="41">
        <f>G51+G32</f>
        <v>305978.51</v>
      </c>
      <c r="H52" s="41">
        <f>H51+H32</f>
        <v>4440584.3</v>
      </c>
      <c r="I52" s="41">
        <f>I51+I32</f>
        <v>0</v>
      </c>
      <c r="J52" s="41">
        <f>J51+J32</f>
        <v>3507187.66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70108110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>
        <v>52517.14</v>
      </c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70108110</v>
      </c>
      <c r="G60" s="41">
        <f>SUM(G57:G59)</f>
        <v>0</v>
      </c>
      <c r="H60" s="41">
        <f>SUM(H57:H59)</f>
        <v>52517.14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33011.28+2810.16</f>
        <v>35821.440000000002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>
        <v>38585.46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>
        <v>439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>
        <v>24589.48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3734875.46+940172.5</f>
        <v>4675047.96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1323174.45</v>
      </c>
      <c r="G69" s="24" t="s">
        <v>289</v>
      </c>
      <c r="H69" s="18">
        <v>3316833.78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212631.28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6246675.1300000008</v>
      </c>
      <c r="G79" s="45" t="s">
        <v>289</v>
      </c>
      <c r="H79" s="41">
        <f>SUM(H63:H78)</f>
        <v>3380447.7199999997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139529.10999999999</v>
      </c>
      <c r="G96" s="18"/>
      <c r="H96" s="18"/>
      <c r="I96" s="18"/>
      <c r="J96" s="18">
        <v>38870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609386.84+35069.3+288011.63+47.05+15201.15+7+136.4</f>
        <v>947859.37000000011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43946</v>
      </c>
      <c r="G98" s="24" t="s">
        <v>289</v>
      </c>
      <c r="H98" s="18">
        <v>63949.18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13489.58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226980.83+135277.04+58472.5</f>
        <v>420730.37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78347.070000000007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6105.76+325000</f>
        <v>331105.76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606417.52</v>
      </c>
      <c r="G111" s="41">
        <f>SUM(G96:G110)</f>
        <v>947859.37000000011</v>
      </c>
      <c r="H111" s="41">
        <f>SUM(H96:H110)</f>
        <v>484679.55</v>
      </c>
      <c r="I111" s="41">
        <f>SUM(I96:I110)</f>
        <v>0</v>
      </c>
      <c r="J111" s="41">
        <f>SUM(J96:J110)</f>
        <v>38870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76961202.649999991</v>
      </c>
      <c r="G112" s="41">
        <f>G60+G111</f>
        <v>947859.37000000011</v>
      </c>
      <c r="H112" s="41">
        <f>H60+H79+H94+H111</f>
        <v>3917644.4099999997</v>
      </c>
      <c r="I112" s="41">
        <f>I60+I111</f>
        <v>0</v>
      </c>
      <c r="J112" s="41">
        <f>J60+J111</f>
        <v>38870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58906278.969999999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19963219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60468.02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78929965.989999995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2740960.8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620568.81000000006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694329.23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82722.070000000007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4055858.84</v>
      </c>
      <c r="G136" s="41">
        <f>SUM(G123:G135)</f>
        <v>82722.070000000007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82985824.829999998</v>
      </c>
      <c r="G140" s="41">
        <f>G121+SUM(G136:G137)</f>
        <v>82722.070000000007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>
        <v>356965.54</v>
      </c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356965.54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7980673.6399999997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2685452.11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596132.06000000006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614600.56000000006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3884100+114218.44</f>
        <v>3998318.44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3900357.83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1415163.9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84987.98</v>
      </c>
      <c r="G161" s="18"/>
      <c r="H161" s="18">
        <f>305178.7</f>
        <v>305178.7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1500151.88</v>
      </c>
      <c r="G162" s="41">
        <f>SUM(G150:G161)</f>
        <v>3998318.44</v>
      </c>
      <c r="H162" s="41">
        <f>SUM(H150:H161)</f>
        <v>16082394.9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1500151.88</v>
      </c>
      <c r="G169" s="41">
        <f>G147+G162+SUM(G163:G168)</f>
        <v>4355283.9799999995</v>
      </c>
      <c r="H169" s="41">
        <f>H147+H162+SUM(H163:H168)</f>
        <v>16082394.9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27449.18</v>
      </c>
      <c r="H179" s="18"/>
      <c r="I179" s="18"/>
      <c r="J179" s="18">
        <v>11092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270737.08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270737.08</v>
      </c>
      <c r="G183" s="41">
        <f>SUM(G179:G182)</f>
        <v>27449.18</v>
      </c>
      <c r="H183" s="41">
        <f>SUM(H179:H182)</f>
        <v>0</v>
      </c>
      <c r="I183" s="41">
        <f>SUM(I179:I182)</f>
        <v>0</v>
      </c>
      <c r="J183" s="41">
        <f>SUM(J179:J182)</f>
        <v>11092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2603852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2603852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2874589.08</v>
      </c>
      <c r="G192" s="41">
        <f>G183+SUM(G188:G191)</f>
        <v>27449.18</v>
      </c>
      <c r="H192" s="41">
        <f>+H183+SUM(H188:H191)</f>
        <v>0</v>
      </c>
      <c r="I192" s="41">
        <f>I177+I183+SUM(I188:I191)</f>
        <v>0</v>
      </c>
      <c r="J192" s="41">
        <f>J183</f>
        <v>11092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164321768.44</v>
      </c>
      <c r="G193" s="47">
        <f>G112+G140+G169+G192</f>
        <v>5413314.5999999996</v>
      </c>
      <c r="H193" s="47">
        <f>H112+H140+H169+H192</f>
        <v>20000039.309999999</v>
      </c>
      <c r="I193" s="47">
        <f>I112+I140+I169+I192</f>
        <v>0</v>
      </c>
      <c r="J193" s="47">
        <f>J112+J140+J192</f>
        <v>49962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20094614.23+18370.24-0.02</f>
        <v>20112984.449999999</v>
      </c>
      <c r="G197" s="18">
        <f>9937035.31-860211.98-1334.66</f>
        <v>9075488.6699999999</v>
      </c>
      <c r="H197" s="18">
        <f>3560.7+1886+225.55+38673+25266.13+8705.59+2454.73+441.82+285.05</f>
        <v>81498.570000000007</v>
      </c>
      <c r="I197" s="18">
        <f>149154.75+33748.57</f>
        <v>182903.32</v>
      </c>
      <c r="J197" s="18">
        <f>2402</f>
        <v>2402</v>
      </c>
      <c r="K197" s="18">
        <f>9050+774</f>
        <v>9824</v>
      </c>
      <c r="L197" s="19">
        <f>SUM(F197:K197)</f>
        <v>29465101.009999998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8683904.24+149827.47</f>
        <v>8833731.7100000009</v>
      </c>
      <c r="G198" s="18">
        <f>5431139.55+1766.25-183091.67</f>
        <v>5249814.13</v>
      </c>
      <c r="H198" s="18">
        <f>137080.96+758.62+741.28+1238583.98+3550.89+245672.46</f>
        <v>1626388.1899999997</v>
      </c>
      <c r="I198" s="18">
        <f>72190.5+6720.72+17603.56</f>
        <v>96514.78</v>
      </c>
      <c r="J198" s="18">
        <f>1261.45+339.48</f>
        <v>1600.93</v>
      </c>
      <c r="K198" s="18">
        <f>244.8</f>
        <v>244.8</v>
      </c>
      <c r="L198" s="19">
        <f>SUM(F198:K198)</f>
        <v>15808294.539999999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28756.83</f>
        <v>28756.83</v>
      </c>
      <c r="G200" s="18">
        <f>4859.54</f>
        <v>4859.54</v>
      </c>
      <c r="H200" s="18"/>
      <c r="I200" s="18"/>
      <c r="J200" s="18"/>
      <c r="K200" s="18">
        <v>100000</v>
      </c>
      <c r="L200" s="19">
        <f>SUM(F200:K200)</f>
        <v>133616.37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2608659.63+121964.82</f>
        <v>2730624.4499999997</v>
      </c>
      <c r="G202" s="18">
        <f>1255434.25+68316.92</f>
        <v>1323751.17</v>
      </c>
      <c r="H202" s="18">
        <f>215830.59+993.75+1192.76+1042005.12</f>
        <v>1260022.22</v>
      </c>
      <c r="I202" s="18">
        <f>4090</f>
        <v>4090</v>
      </c>
      <c r="J202" s="18"/>
      <c r="K202" s="18"/>
      <c r="L202" s="19">
        <f t="shared" ref="L202:L208" si="0">SUM(F202:K202)</f>
        <v>5318487.84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796160.95+20742.13</f>
        <v>816903.08</v>
      </c>
      <c r="G203" s="18">
        <f>409555.65+61972.75+31121.04+14707.98</f>
        <v>517357.42</v>
      </c>
      <c r="H203" s="18">
        <f>26580+120.05</f>
        <v>26700.05</v>
      </c>
      <c r="I203" s="18">
        <f>959.37+569.75+254.14+1350</f>
        <v>3133.2599999999998</v>
      </c>
      <c r="J203" s="18"/>
      <c r="K203" s="18"/>
      <c r="L203" s="19">
        <f t="shared" si="0"/>
        <v>1364093.81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345956.69</f>
        <v>345956.69</v>
      </c>
      <c r="G204" s="18">
        <f>155151.35</f>
        <v>155151.35</v>
      </c>
      <c r="H204" s="18">
        <f>108553.23</f>
        <v>108553.23</v>
      </c>
      <c r="I204" s="18">
        <f>1598.93</f>
        <v>1598.93</v>
      </c>
      <c r="J204" s="18"/>
      <c r="K204" s="18">
        <f>2161.82</f>
        <v>2161.8200000000002</v>
      </c>
      <c r="L204" s="19">
        <f t="shared" si="0"/>
        <v>613422.02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3056795.64</f>
        <v>3056795.64</v>
      </c>
      <c r="G205" s="18">
        <f>1372298.58+78.6</f>
        <v>1372377.1800000002</v>
      </c>
      <c r="H205" s="18">
        <f>47993.51+195+9020.81</f>
        <v>57209.32</v>
      </c>
      <c r="I205" s="18">
        <f>108.48+135.27</f>
        <v>243.75</v>
      </c>
      <c r="J205" s="18"/>
      <c r="K205" s="18">
        <f>13933</f>
        <v>13933</v>
      </c>
      <c r="L205" s="19">
        <f t="shared" si="0"/>
        <v>4500558.8900000006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258397.78</f>
        <v>258397.78</v>
      </c>
      <c r="G206" s="18">
        <f>150826.16</f>
        <v>150826.16</v>
      </c>
      <c r="H206" s="18">
        <f>80836.46</f>
        <v>80836.460000000006</v>
      </c>
      <c r="I206" s="18">
        <f>2413.67</f>
        <v>2413.67</v>
      </c>
      <c r="J206" s="18"/>
      <c r="K206" s="18"/>
      <c r="L206" s="19">
        <f t="shared" si="0"/>
        <v>492474.07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>
        <f>44811.21+63109.83+95584.15+44809.17+1351878.92</f>
        <v>1600193.2799999998</v>
      </c>
      <c r="I207" s="18">
        <f>241868.9+417666.48+68.23+10315.08</f>
        <v>669918.68999999994</v>
      </c>
      <c r="J207" s="18"/>
      <c r="K207" s="18"/>
      <c r="L207" s="19">
        <f t="shared" si="0"/>
        <v>2270111.9699999997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22734.86</v>
      </c>
      <c r="G208" s="18">
        <v>8833.9500000000007</v>
      </c>
      <c r="H208" s="18">
        <v>2473314</v>
      </c>
      <c r="I208" s="18"/>
      <c r="J208" s="18"/>
      <c r="K208" s="18"/>
      <c r="L208" s="19">
        <f t="shared" si="0"/>
        <v>2504882.81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269988.28</f>
        <v>269988.28000000003</v>
      </c>
      <c r="G209" s="18">
        <f>121885.7</f>
        <v>121885.7</v>
      </c>
      <c r="H209" s="18">
        <f>1105+11703+217251.07</f>
        <v>230059.07</v>
      </c>
      <c r="I209" s="18">
        <f>2296.41+14000+21258.68</f>
        <v>37555.089999999997</v>
      </c>
      <c r="J209" s="18">
        <f>52465.43+10248.49</f>
        <v>62713.919999999998</v>
      </c>
      <c r="K209" s="18">
        <v>432.54</v>
      </c>
      <c r="L209" s="19">
        <f>SUM(F209:K209)</f>
        <v>722634.60000000009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36476873.769999996</v>
      </c>
      <c r="G211" s="41">
        <f t="shared" si="1"/>
        <v>17980345.27</v>
      </c>
      <c r="H211" s="41">
        <f t="shared" si="1"/>
        <v>7544774.3899999987</v>
      </c>
      <c r="I211" s="41">
        <f t="shared" si="1"/>
        <v>998371.48999999987</v>
      </c>
      <c r="J211" s="41">
        <f t="shared" si="1"/>
        <v>66716.850000000006</v>
      </c>
      <c r="K211" s="41">
        <f t="shared" si="1"/>
        <v>126596.16</v>
      </c>
      <c r="L211" s="41">
        <f t="shared" si="1"/>
        <v>63193677.93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10467811.02+10715.97</f>
        <v>10478526.99</v>
      </c>
      <c r="G215" s="18">
        <f>5322888-588566.09-651.8</f>
        <v>4733670.1100000003</v>
      </c>
      <c r="H215" s="18">
        <f>510+369+29976.24+83122.95+4076.4+5828.78+64.24+166.28</f>
        <v>124113.89</v>
      </c>
      <c r="I215" s="18">
        <f>74539.35+29040.45</f>
        <v>103579.8</v>
      </c>
      <c r="J215" s="18"/>
      <c r="K215" s="18">
        <f>250+451.5</f>
        <v>701.5</v>
      </c>
      <c r="L215" s="19">
        <f>SUM(F215:K215)</f>
        <v>15440592.290000003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4101017.06+87399.36</f>
        <v>4188416.42</v>
      </c>
      <c r="G216" s="18">
        <f>2498219.23-106803.48</f>
        <v>2391415.75</v>
      </c>
      <c r="H216" s="18">
        <f>183876.36+1907399.05+1027.22+143308.94</f>
        <v>2235611.5700000003</v>
      </c>
      <c r="I216" s="18">
        <f>12600.02+108.9+10268.74</f>
        <v>22977.66</v>
      </c>
      <c r="J216" s="18">
        <f>198.03</f>
        <v>198.03</v>
      </c>
      <c r="K216" s="18">
        <f>142.8</f>
        <v>142.80000000000001</v>
      </c>
      <c r="L216" s="19">
        <f>SUM(F216:K216)</f>
        <v>8838762.2300000004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f>352422.62</f>
        <v>352422.62</v>
      </c>
      <c r="G217" s="18">
        <f>188708.27</f>
        <v>188708.27</v>
      </c>
      <c r="H217" s="18"/>
      <c r="I217" s="18">
        <f>4335.09</f>
        <v>4335.09</v>
      </c>
      <c r="J217" s="18"/>
      <c r="K217" s="18"/>
      <c r="L217" s="19">
        <f>SUM(F217:K217)</f>
        <v>545465.98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190010.05+8032.54</f>
        <v>198042.59</v>
      </c>
      <c r="G218" s="18">
        <f>42241.42+2432.69</f>
        <v>44674.11</v>
      </c>
      <c r="H218" s="18">
        <f>23511+395+22448.48</f>
        <v>46354.479999999996</v>
      </c>
      <c r="I218" s="18">
        <f>3997.35+12.02</f>
        <v>4009.37</v>
      </c>
      <c r="J218" s="18">
        <f>1480.79</f>
        <v>1480.79</v>
      </c>
      <c r="K218" s="18">
        <v>1984.2</v>
      </c>
      <c r="L218" s="19">
        <f>SUM(F218:K218)</f>
        <v>296545.53999999998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1096297.06+71146.14</f>
        <v>1167443.2</v>
      </c>
      <c r="G220" s="18">
        <f>468972.92+39851.54</f>
        <v>508824.45999999996</v>
      </c>
      <c r="H220" s="18">
        <f>203212.27+355.74+607836.32</f>
        <v>811404.33</v>
      </c>
      <c r="I220" s="18"/>
      <c r="J220" s="18"/>
      <c r="K220" s="18"/>
      <c r="L220" s="19">
        <f t="shared" ref="L220:L226" si="2">SUM(F220:K220)</f>
        <v>2487671.9899999998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276945.8+12099.58</f>
        <v>289045.38</v>
      </c>
      <c r="G221" s="18">
        <f>113552.38+34479.01+14755.08+8579.66</f>
        <v>171366.13</v>
      </c>
      <c r="H221" s="18">
        <f>70.03</f>
        <v>70.03</v>
      </c>
      <c r="I221" s="18">
        <f>210.62+199.05+419.55+787.5</f>
        <v>1616.72</v>
      </c>
      <c r="J221" s="18"/>
      <c r="K221" s="18"/>
      <c r="L221" s="19">
        <f t="shared" si="2"/>
        <v>462098.26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201808.07</f>
        <v>201808.07</v>
      </c>
      <c r="G222" s="18">
        <f>90504.95</f>
        <v>90504.95</v>
      </c>
      <c r="H222" s="18">
        <f>11184.47+63322.72</f>
        <v>74507.19</v>
      </c>
      <c r="I222" s="18">
        <f>932.71</f>
        <v>932.71</v>
      </c>
      <c r="J222" s="18"/>
      <c r="K222" s="18">
        <v>1261.06</v>
      </c>
      <c r="L222" s="19">
        <f t="shared" si="2"/>
        <v>369013.98000000004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1406512.68</f>
        <v>1406512.68</v>
      </c>
      <c r="G223" s="18">
        <f>688410.54+45.85</f>
        <v>688456.39</v>
      </c>
      <c r="H223" s="18">
        <f>100+22580.97+5262.14</f>
        <v>27943.11</v>
      </c>
      <c r="I223" s="18">
        <f>9117.94+78.91</f>
        <v>9196.85</v>
      </c>
      <c r="J223" s="18"/>
      <c r="K223" s="18">
        <f>5060+315.9</f>
        <v>5375.9</v>
      </c>
      <c r="L223" s="19">
        <f t="shared" si="2"/>
        <v>2137484.9299999997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150732.04</f>
        <v>150732.04</v>
      </c>
      <c r="G224" s="18">
        <f>87981.93</f>
        <v>87981.93</v>
      </c>
      <c r="H224" s="18">
        <f>47154.6</f>
        <v>47154.6</v>
      </c>
      <c r="I224" s="18">
        <f>1407.98</f>
        <v>1407.98</v>
      </c>
      <c r="J224" s="18"/>
      <c r="K224" s="18"/>
      <c r="L224" s="19">
        <f t="shared" si="2"/>
        <v>287276.55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>
        <f>13945.21+54026.49+92287.34+14308.97+1351944.71</f>
        <v>1526512.72</v>
      </c>
      <c r="I225" s="18">
        <f>114203.48+252931.49+6017.13</f>
        <v>373152.1</v>
      </c>
      <c r="J225" s="18"/>
      <c r="K225" s="18"/>
      <c r="L225" s="19">
        <f t="shared" si="2"/>
        <v>1899664.8199999998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16910.02</v>
      </c>
      <c r="G226" s="18">
        <v>6570.62</v>
      </c>
      <c r="H226" s="18">
        <v>1865299.89</v>
      </c>
      <c r="I226" s="18"/>
      <c r="J226" s="18"/>
      <c r="K226" s="18"/>
      <c r="L226" s="19">
        <f t="shared" si="2"/>
        <v>1888780.5299999998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157493.16</f>
        <v>157493.16</v>
      </c>
      <c r="G227" s="18">
        <v>71099.990000000005</v>
      </c>
      <c r="H227" s="18">
        <f>560+3883.6+126729.79</f>
        <v>131173.38999999998</v>
      </c>
      <c r="I227" s="18">
        <f>2710.05+4000+12400.89</f>
        <v>19110.939999999999</v>
      </c>
      <c r="J227" s="18">
        <f>19426.75+5978.28</f>
        <v>25405.03</v>
      </c>
      <c r="K227" s="18">
        <f>252.32</f>
        <v>252.32</v>
      </c>
      <c r="L227" s="19">
        <f>SUM(F227:K227)</f>
        <v>404534.83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18607353.169999998</v>
      </c>
      <c r="G229" s="41">
        <f>SUM(G215:G228)</f>
        <v>8983272.709999999</v>
      </c>
      <c r="H229" s="41">
        <f>SUM(H215:H228)</f>
        <v>6890145.1999999993</v>
      </c>
      <c r="I229" s="41">
        <f>SUM(I215:I228)</f>
        <v>540319.22</v>
      </c>
      <c r="J229" s="41">
        <f>SUM(J215:J228)</f>
        <v>27083.85</v>
      </c>
      <c r="K229" s="41">
        <f t="shared" si="3"/>
        <v>9717.7799999999988</v>
      </c>
      <c r="L229" s="41">
        <f t="shared" si="3"/>
        <v>35057891.93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14858352.86+21942.23</f>
        <v>14880295.09</v>
      </c>
      <c r="G233" s="18">
        <f>7204756.85-814937.66-1117.38</f>
        <v>6388701.8099999996</v>
      </c>
      <c r="H233" s="18">
        <f>8338.13+480+1976.21+20253.6+3468.87+4505.28+8048.1+32242.63+1370.51+340.48</f>
        <v>81023.809999999983</v>
      </c>
      <c r="I233" s="18">
        <f>141244.38+1605.87+119309.98</f>
        <v>262160.23</v>
      </c>
      <c r="J233" s="18">
        <f>7551.5</f>
        <v>7551.5</v>
      </c>
      <c r="K233" s="18">
        <f>15312.5+924.5</f>
        <v>16237</v>
      </c>
      <c r="L233" s="19">
        <f>SUM(F233:K233)</f>
        <v>21635969.439999998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3701350.37+178960.59</f>
        <v>3880310.96</v>
      </c>
      <c r="G234" s="18">
        <f>2046884.68-218692.83</f>
        <v>1828191.8499999999</v>
      </c>
      <c r="H234" s="18">
        <f>138668.39+1176.01+540.6+3432113.15+1131.21+293442.11</f>
        <v>3867071.4699999997</v>
      </c>
      <c r="I234" s="18">
        <f>8393.37+1122.68+21026.47</f>
        <v>30542.520000000004</v>
      </c>
      <c r="J234" s="18">
        <f>6823.67+405.49</f>
        <v>7229.16</v>
      </c>
      <c r="K234" s="18">
        <f>292.4</f>
        <v>292.39999999999998</v>
      </c>
      <c r="L234" s="19">
        <f>SUM(F234:K234)</f>
        <v>9613638.3599999994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f>2041910.73</f>
        <v>2041910.73</v>
      </c>
      <c r="G235" s="18">
        <f>1090078.68</f>
        <v>1090078.68</v>
      </c>
      <c r="H235" s="18">
        <f>12210.64+81.64</f>
        <v>12292.279999999999</v>
      </c>
      <c r="I235" s="18">
        <f>8500</f>
        <v>8500</v>
      </c>
      <c r="J235" s="18"/>
      <c r="K235" s="18"/>
      <c r="L235" s="19">
        <f>SUM(F235:K235)</f>
        <v>3152781.69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750941.32+64990.54</f>
        <v>815931.86</v>
      </c>
      <c r="G236" s="18">
        <f>167293.05+19682.64</f>
        <v>186975.69</v>
      </c>
      <c r="H236" s="18">
        <f>120397.13+2400+9720+19928.4+2596.43+181628.58</f>
        <v>336670.54</v>
      </c>
      <c r="I236" s="18">
        <f>46689.36+13006.4+35152.23+97.25</f>
        <v>94945.24</v>
      </c>
      <c r="J236" s="18">
        <v>21363.38</v>
      </c>
      <c r="K236" s="18">
        <f>27770+32000+59000</f>
        <v>118770</v>
      </c>
      <c r="L236" s="19">
        <f>SUM(F236:K236)</f>
        <v>1574656.71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1675527.35+145680.2</f>
        <v>1821207.55</v>
      </c>
      <c r="G238" s="18">
        <f>824228.5+81600.77</f>
        <v>905829.27</v>
      </c>
      <c r="H238" s="18">
        <f>104812.8+16956.52+265.1+1244617.22</f>
        <v>1366651.64</v>
      </c>
      <c r="I238" s="18"/>
      <c r="J238" s="18"/>
      <c r="K238" s="18"/>
      <c r="L238" s="19">
        <f t="shared" ref="L238:L244" si="4">SUM(F238:K238)</f>
        <v>4093688.46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362216.21+24775.33</f>
        <v>386991.54000000004</v>
      </c>
      <c r="G239" s="18">
        <f>182649.72+17567.87</f>
        <v>200217.59</v>
      </c>
      <c r="H239" s="18">
        <f>44944.37+18615.83+143.39</f>
        <v>63703.590000000004</v>
      </c>
      <c r="I239" s="18">
        <f>1432+1612.5+3646.1+16902.19+3258.14</f>
        <v>26850.93</v>
      </c>
      <c r="J239" s="18"/>
      <c r="K239" s="18"/>
      <c r="L239" s="19">
        <f t="shared" si="4"/>
        <v>677763.65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413226.05</f>
        <v>413226.05</v>
      </c>
      <c r="G240" s="18">
        <f>185319.66</f>
        <v>185319.66</v>
      </c>
      <c r="H240" s="18">
        <f>2893.57+129660.81</f>
        <v>132554.38</v>
      </c>
      <c r="I240" s="18">
        <f>1909.84</f>
        <v>1909.84</v>
      </c>
      <c r="J240" s="18"/>
      <c r="K240" s="18">
        <v>2582.17</v>
      </c>
      <c r="L240" s="19">
        <f t="shared" si="4"/>
        <v>735592.1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2040670.99</f>
        <v>2040670.99</v>
      </c>
      <c r="G241" s="18">
        <f>1081481.57+93.88</f>
        <v>1081575.45</v>
      </c>
      <c r="H241" s="18">
        <f>8156.9+36248.96+2205.4+1971.83+141.24+10774.85</f>
        <v>59499.18</v>
      </c>
      <c r="I241" s="18">
        <f>6215.26+161.57</f>
        <v>6376.83</v>
      </c>
      <c r="J241" s="18"/>
      <c r="K241" s="18">
        <f>27813.1+8833.4</f>
        <v>36646.5</v>
      </c>
      <c r="L241" s="19">
        <f t="shared" si="4"/>
        <v>3224768.95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308641.79</f>
        <v>308641.78999999998</v>
      </c>
      <c r="G242" s="18">
        <f>180153.47</f>
        <v>180153.47</v>
      </c>
      <c r="H242" s="18">
        <f>96554.66</f>
        <v>96554.66</v>
      </c>
      <c r="I242" s="18">
        <f>2883</f>
        <v>2883</v>
      </c>
      <c r="J242" s="18"/>
      <c r="K242" s="18"/>
      <c r="L242" s="19">
        <f t="shared" si="4"/>
        <v>588232.92000000004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>
        <f>26959.12+39137.98+108164+15453.81+4055921.83</f>
        <v>4245636.74</v>
      </c>
      <c r="I243" s="18">
        <f>182093.3+558497.43+12320.79</f>
        <v>752911.52</v>
      </c>
      <c r="J243" s="18"/>
      <c r="K243" s="18"/>
      <c r="L243" s="19">
        <f t="shared" si="4"/>
        <v>4998548.26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8932.6200000000008</v>
      </c>
      <c r="G244" s="18">
        <v>3470.89</v>
      </c>
      <c r="H244" s="18">
        <v>1081194.1399999999</v>
      </c>
      <c r="I244" s="18"/>
      <c r="J244" s="18"/>
      <c r="K244" s="18"/>
      <c r="L244" s="19">
        <f t="shared" si="4"/>
        <v>1093597.6499999999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322486</f>
        <v>322486</v>
      </c>
      <c r="G245" s="18">
        <f>145585.69</f>
        <v>145585.69</v>
      </c>
      <c r="H245" s="18">
        <f>800+448.05+4644.5+326.56+259494.33</f>
        <v>265713.44</v>
      </c>
      <c r="I245" s="18">
        <f>3000+25392.31</f>
        <v>28392.31</v>
      </c>
      <c r="J245" s="18">
        <f>103894.49+12241.25</f>
        <v>116135.74</v>
      </c>
      <c r="K245" s="18">
        <f>516.65</f>
        <v>516.65</v>
      </c>
      <c r="L245" s="19">
        <f>SUM(F245:K245)</f>
        <v>878829.83000000007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26920605.18</v>
      </c>
      <c r="G247" s="41">
        <f t="shared" si="5"/>
        <v>12196100.049999999</v>
      </c>
      <c r="H247" s="41">
        <f t="shared" si="5"/>
        <v>11608565.869999999</v>
      </c>
      <c r="I247" s="41">
        <f t="shared" si="5"/>
        <v>1215472.4200000002</v>
      </c>
      <c r="J247" s="41">
        <f t="shared" si="5"/>
        <v>152279.78</v>
      </c>
      <c r="K247" s="41">
        <f t="shared" si="5"/>
        <v>175044.72</v>
      </c>
      <c r="L247" s="41">
        <f t="shared" si="5"/>
        <v>52268068.019999996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>
        <f>50479.8</f>
        <v>50479.8</v>
      </c>
      <c r="I251" s="18"/>
      <c r="J251" s="18">
        <f>4653.25</f>
        <v>4653.25</v>
      </c>
      <c r="K251" s="18"/>
      <c r="L251" s="19">
        <f t="shared" si="6"/>
        <v>55133.05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50479.8</v>
      </c>
      <c r="I256" s="41">
        <f t="shared" si="7"/>
        <v>0</v>
      </c>
      <c r="J256" s="41">
        <f t="shared" si="7"/>
        <v>4653.25</v>
      </c>
      <c r="K256" s="41">
        <f t="shared" si="7"/>
        <v>0</v>
      </c>
      <c r="L256" s="41">
        <f>SUM(F256:K256)</f>
        <v>55133.05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82004832.120000005</v>
      </c>
      <c r="G257" s="41">
        <f t="shared" si="8"/>
        <v>39159718.029999994</v>
      </c>
      <c r="H257" s="41">
        <f t="shared" si="8"/>
        <v>26093965.259999998</v>
      </c>
      <c r="I257" s="41">
        <f t="shared" si="8"/>
        <v>2754163.13</v>
      </c>
      <c r="J257" s="41">
        <f t="shared" si="8"/>
        <v>250733.73</v>
      </c>
      <c r="K257" s="41">
        <f t="shared" si="8"/>
        <v>311358.66000000003</v>
      </c>
      <c r="L257" s="41">
        <f t="shared" si="8"/>
        <v>150574770.93000001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7896841.54</v>
      </c>
      <c r="L260" s="19">
        <f>SUM(F260:K260)</f>
        <v>7896841.54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4878831.21</v>
      </c>
      <c r="L261" s="19">
        <f>SUM(F261:K261)</f>
        <v>4878831.21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27449.18</v>
      </c>
      <c r="L263" s="19">
        <f>SUM(F263:K263)</f>
        <v>27449.18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11092</v>
      </c>
      <c r="L266" s="19">
        <f t="shared" si="9"/>
        <v>11092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256953.28</v>
      </c>
      <c r="L268" s="19">
        <f t="shared" si="9"/>
        <v>256953.28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13071167.209999999</v>
      </c>
      <c r="L270" s="41">
        <f t="shared" si="9"/>
        <v>13071167.209999999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82004832.120000005</v>
      </c>
      <c r="G271" s="42">
        <f t="shared" si="11"/>
        <v>39159718.029999994</v>
      </c>
      <c r="H271" s="42">
        <f t="shared" si="11"/>
        <v>26093965.259999998</v>
      </c>
      <c r="I271" s="42">
        <f t="shared" si="11"/>
        <v>2754163.13</v>
      </c>
      <c r="J271" s="42">
        <f t="shared" si="11"/>
        <v>250733.73</v>
      </c>
      <c r="K271" s="42">
        <f t="shared" si="11"/>
        <v>13382525.869999999</v>
      </c>
      <c r="L271" s="42">
        <f t="shared" si="11"/>
        <v>163645938.14000002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751439.55</v>
      </c>
      <c r="G276" s="18">
        <v>368588.82</v>
      </c>
      <c r="H276" s="18">
        <v>32077.42</v>
      </c>
      <c r="I276" s="18">
        <v>20468.72</v>
      </c>
      <c r="J276" s="18">
        <v>40919.14</v>
      </c>
      <c r="K276" s="18">
        <v>2791.23</v>
      </c>
      <c r="L276" s="19">
        <f>SUM(F276:K276)</f>
        <v>1216284.8799999999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5668545.6900000004</v>
      </c>
      <c r="G277" s="18">
        <v>2777939.07</v>
      </c>
      <c r="H277" s="18">
        <v>1205140.83</v>
      </c>
      <c r="I277" s="18">
        <v>438956.27</v>
      </c>
      <c r="J277" s="18">
        <v>375927.09</v>
      </c>
      <c r="K277" s="18">
        <v>1204.8900000000001</v>
      </c>
      <c r="L277" s="19">
        <f>SUM(F277:K277)</f>
        <v>10467713.84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453910.33</v>
      </c>
      <c r="G279" s="18">
        <v>90109.71</v>
      </c>
      <c r="H279" s="18">
        <v>21943.41</v>
      </c>
      <c r="I279" s="18">
        <v>304263.40999999997</v>
      </c>
      <c r="J279" s="18">
        <v>4132.1499999999996</v>
      </c>
      <c r="K279" s="18"/>
      <c r="L279" s="19">
        <f>SUM(F279:K279)</f>
        <v>874359.01000000013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405965.33</v>
      </c>
      <c r="G281" s="18">
        <v>215594.95</v>
      </c>
      <c r="H281" s="18">
        <v>18.3</v>
      </c>
      <c r="I281" s="18"/>
      <c r="J281" s="18"/>
      <c r="K281" s="18"/>
      <c r="L281" s="19">
        <f t="shared" ref="L281:L287" si="12">SUM(F281:K281)</f>
        <v>621578.58000000007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1586.25</v>
      </c>
      <c r="G282" s="18">
        <v>1159.48</v>
      </c>
      <c r="H282" s="18">
        <v>2653.38</v>
      </c>
      <c r="I282" s="18"/>
      <c r="J282" s="18"/>
      <c r="K282" s="18"/>
      <c r="L282" s="19">
        <f t="shared" si="12"/>
        <v>5399.1100000000006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193607.89</v>
      </c>
      <c r="G283" s="18">
        <v>115248.61</v>
      </c>
      <c r="H283" s="18">
        <v>12388.65</v>
      </c>
      <c r="I283" s="18">
        <v>1359.7</v>
      </c>
      <c r="J283" s="18"/>
      <c r="K283" s="18"/>
      <c r="L283" s="19">
        <f t="shared" si="12"/>
        <v>322604.85000000003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35504</v>
      </c>
      <c r="I286" s="18"/>
      <c r="J286" s="18">
        <v>0</v>
      </c>
      <c r="K286" s="18"/>
      <c r="L286" s="19">
        <f t="shared" si="12"/>
        <v>35504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>
        <v>10654.7</v>
      </c>
      <c r="K288" s="18"/>
      <c r="L288" s="19">
        <f>SUM(F288:K288)</f>
        <v>10654.7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7475055.04</v>
      </c>
      <c r="G290" s="42">
        <f t="shared" si="13"/>
        <v>3568640.6399999997</v>
      </c>
      <c r="H290" s="42">
        <f t="shared" si="13"/>
        <v>1309725.9899999998</v>
      </c>
      <c r="I290" s="42">
        <f t="shared" si="13"/>
        <v>765048.09999999986</v>
      </c>
      <c r="J290" s="42">
        <f t="shared" si="13"/>
        <v>431633.08000000007</v>
      </c>
      <c r="K290" s="42">
        <f t="shared" si="13"/>
        <v>3996.12</v>
      </c>
      <c r="L290" s="41">
        <f t="shared" si="13"/>
        <v>13554098.969999997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2535</v>
      </c>
      <c r="G295" s="18">
        <v>2862.75</v>
      </c>
      <c r="H295" s="18">
        <v>8275.44</v>
      </c>
      <c r="I295" s="18">
        <v>4866.6400000000003</v>
      </c>
      <c r="J295" s="18">
        <v>7610.21</v>
      </c>
      <c r="K295" s="18">
        <v>1941.46</v>
      </c>
      <c r="L295" s="19">
        <f>SUM(F295:K295)</f>
        <v>28091.5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889481.63</v>
      </c>
      <c r="G296" s="18">
        <v>563503.44999999995</v>
      </c>
      <c r="H296" s="18">
        <v>36732.959999999999</v>
      </c>
      <c r="I296" s="18">
        <v>27333.33</v>
      </c>
      <c r="J296" s="18">
        <v>39789.72</v>
      </c>
      <c r="K296" s="18">
        <v>30.3</v>
      </c>
      <c r="L296" s="19">
        <f>SUM(F296:K296)</f>
        <v>1556871.3900000001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204017.57</v>
      </c>
      <c r="G298" s="18">
        <v>33089.24</v>
      </c>
      <c r="H298" s="18">
        <v>11387.09</v>
      </c>
      <c r="I298" s="18">
        <v>5208.2</v>
      </c>
      <c r="J298" s="18">
        <v>1197.8</v>
      </c>
      <c r="K298" s="18"/>
      <c r="L298" s="19">
        <f>SUM(F298:K298)</f>
        <v>254899.9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58480.19</v>
      </c>
      <c r="G300" s="18">
        <v>27705.89</v>
      </c>
      <c r="H300" s="18">
        <v>1.17</v>
      </c>
      <c r="I300" s="18"/>
      <c r="J300" s="18"/>
      <c r="K300" s="18"/>
      <c r="L300" s="19">
        <f t="shared" ref="L300:L306" si="14">SUM(F300:K300)</f>
        <v>86187.25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925.31</v>
      </c>
      <c r="G301" s="18">
        <v>198.93</v>
      </c>
      <c r="H301" s="18">
        <v>1295.83</v>
      </c>
      <c r="I301" s="18"/>
      <c r="J301" s="18"/>
      <c r="K301" s="18"/>
      <c r="L301" s="19">
        <f t="shared" si="14"/>
        <v>2420.0699999999997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35482.83</v>
      </c>
      <c r="G302" s="18">
        <v>15334.07</v>
      </c>
      <c r="H302" s="18">
        <v>2152.75</v>
      </c>
      <c r="I302" s="18">
        <v>906.47</v>
      </c>
      <c r="J302" s="18"/>
      <c r="K302" s="18"/>
      <c r="L302" s="19">
        <f t="shared" si="14"/>
        <v>53876.12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>
        <v>31996.959999999999</v>
      </c>
      <c r="K307" s="18"/>
      <c r="L307" s="19">
        <f>SUM(F307:K307)</f>
        <v>31996.959999999999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1190922.53</v>
      </c>
      <c r="G309" s="42">
        <f t="shared" si="15"/>
        <v>642694.32999999996</v>
      </c>
      <c r="H309" s="42">
        <f t="shared" si="15"/>
        <v>59845.240000000005</v>
      </c>
      <c r="I309" s="42">
        <f t="shared" si="15"/>
        <v>38314.639999999999</v>
      </c>
      <c r="J309" s="42">
        <f t="shared" si="15"/>
        <v>80594.69</v>
      </c>
      <c r="K309" s="42">
        <f t="shared" si="15"/>
        <v>1971.76</v>
      </c>
      <c r="L309" s="41">
        <f t="shared" si="15"/>
        <v>2014343.1900000002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161672.46</v>
      </c>
      <c r="G314" s="18">
        <v>33750.15</v>
      </c>
      <c r="H314" s="18">
        <v>83864.800000000003</v>
      </c>
      <c r="I314" s="18">
        <v>47151.64</v>
      </c>
      <c r="J314" s="18">
        <v>49869.42</v>
      </c>
      <c r="K314" s="18">
        <v>92733.06</v>
      </c>
      <c r="L314" s="19">
        <f>SUM(F314:K314)</f>
        <v>469041.52999999997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1385262.17</v>
      </c>
      <c r="G315" s="18">
        <v>848316.99</v>
      </c>
      <c r="H315" s="18">
        <v>42280.959999999999</v>
      </c>
      <c r="I315" s="18">
        <v>17140.32</v>
      </c>
      <c r="J315" s="18">
        <v>5235.08</v>
      </c>
      <c r="K315" s="18">
        <v>1.61</v>
      </c>
      <c r="L315" s="19">
        <f>SUM(F315:K315)</f>
        <v>2298237.13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17339.740000000002</v>
      </c>
      <c r="G316" s="18">
        <v>1911.24</v>
      </c>
      <c r="H316" s="18">
        <v>38122.160000000003</v>
      </c>
      <c r="I316" s="18">
        <v>119164.16</v>
      </c>
      <c r="J316" s="18">
        <v>261366.73</v>
      </c>
      <c r="K316" s="18">
        <v>2080</v>
      </c>
      <c r="L316" s="19">
        <f>SUM(F316:K316)</f>
        <v>439984.03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34615.449999999997</v>
      </c>
      <c r="G317" s="18">
        <v>7445.19</v>
      </c>
      <c r="H317" s="18">
        <v>3838.79</v>
      </c>
      <c r="I317" s="18">
        <v>2564.4699999999998</v>
      </c>
      <c r="J317" s="18"/>
      <c r="K317" s="18"/>
      <c r="L317" s="19">
        <f>SUM(F317:K317)</f>
        <v>48463.9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65239.07</v>
      </c>
      <c r="G319" s="18">
        <v>24631.61</v>
      </c>
      <c r="H319" s="18">
        <v>50375.85</v>
      </c>
      <c r="I319" s="18">
        <v>7405.4</v>
      </c>
      <c r="J319" s="18">
        <v>23210.97</v>
      </c>
      <c r="K319" s="18"/>
      <c r="L319" s="19">
        <f t="shared" ref="L319:L325" si="16">SUM(F319:K319)</f>
        <v>170862.9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28890.92</v>
      </c>
      <c r="G320" s="18">
        <v>8298.41</v>
      </c>
      <c r="H320" s="18">
        <v>37009.85</v>
      </c>
      <c r="I320" s="18"/>
      <c r="J320" s="18"/>
      <c r="K320" s="18">
        <v>19936.349999999999</v>
      </c>
      <c r="L320" s="19">
        <f t="shared" si="16"/>
        <v>94135.53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8148.16</v>
      </c>
      <c r="G321" s="18">
        <v>3358.72</v>
      </c>
      <c r="H321" s="18">
        <v>3952.02</v>
      </c>
      <c r="I321" s="18">
        <v>226.62</v>
      </c>
      <c r="J321" s="18"/>
      <c r="K321" s="18"/>
      <c r="L321" s="19">
        <f t="shared" si="16"/>
        <v>15685.52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>
        <v>401.18</v>
      </c>
      <c r="I322" s="18"/>
      <c r="J322" s="18"/>
      <c r="K322" s="18"/>
      <c r="L322" s="19">
        <f t="shared" si="16"/>
        <v>401.18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>
        <v>3694.84</v>
      </c>
      <c r="K326" s="18"/>
      <c r="L326" s="19">
        <f>SUM(F326:K326)</f>
        <v>3694.84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1701167.9699999997</v>
      </c>
      <c r="G328" s="42">
        <f t="shared" si="17"/>
        <v>927712.30999999994</v>
      </c>
      <c r="H328" s="42">
        <f t="shared" si="17"/>
        <v>259845.61000000002</v>
      </c>
      <c r="I328" s="42">
        <f t="shared" si="17"/>
        <v>193652.61</v>
      </c>
      <c r="J328" s="42">
        <f t="shared" si="17"/>
        <v>343377.04</v>
      </c>
      <c r="K328" s="42">
        <f t="shared" si="17"/>
        <v>114751.01999999999</v>
      </c>
      <c r="L328" s="41">
        <f t="shared" si="17"/>
        <v>3540506.5599999991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v>10109.040000000001</v>
      </c>
      <c r="I332" s="18"/>
      <c r="J332" s="18"/>
      <c r="K332" s="18"/>
      <c r="L332" s="19">
        <f t="shared" ref="L332:L337" si="18">SUM(F332:K332)</f>
        <v>10109.040000000001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397048.27</v>
      </c>
      <c r="G333" s="18">
        <v>68018.100000000006</v>
      </c>
      <c r="H333" s="18">
        <v>47433.06</v>
      </c>
      <c r="I333" s="18">
        <v>83582.740000000005</v>
      </c>
      <c r="J333" s="18">
        <v>4883.7299999999996</v>
      </c>
      <c r="K333" s="18"/>
      <c r="L333" s="19">
        <f t="shared" si="18"/>
        <v>600965.9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397048.27</v>
      </c>
      <c r="G337" s="41">
        <f t="shared" si="19"/>
        <v>68018.100000000006</v>
      </c>
      <c r="H337" s="41">
        <f t="shared" si="19"/>
        <v>57542.1</v>
      </c>
      <c r="I337" s="41">
        <f t="shared" si="19"/>
        <v>83582.740000000005</v>
      </c>
      <c r="J337" s="41">
        <f t="shared" si="19"/>
        <v>4883.7299999999996</v>
      </c>
      <c r="K337" s="41">
        <f t="shared" si="19"/>
        <v>0</v>
      </c>
      <c r="L337" s="41">
        <f t="shared" si="18"/>
        <v>611074.93999999994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10764193.809999999</v>
      </c>
      <c r="G338" s="41">
        <f t="shared" si="20"/>
        <v>5207065.379999999</v>
      </c>
      <c r="H338" s="41">
        <f t="shared" si="20"/>
        <v>1686958.94</v>
      </c>
      <c r="I338" s="41">
        <f t="shared" si="20"/>
        <v>1080598.0899999999</v>
      </c>
      <c r="J338" s="41">
        <f t="shared" si="20"/>
        <v>860488.54</v>
      </c>
      <c r="K338" s="41">
        <f t="shared" si="20"/>
        <v>120718.9</v>
      </c>
      <c r="L338" s="41">
        <f t="shared" si="20"/>
        <v>19720023.659999996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270737.08</v>
      </c>
      <c r="L344" s="19">
        <f t="shared" ref="L344:L350" si="21">SUM(F344:K344)</f>
        <v>270737.08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270737.08</v>
      </c>
      <c r="L351" s="41">
        <f>SUM(L341:L350)</f>
        <v>270737.08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10764193.809999999</v>
      </c>
      <c r="G352" s="41">
        <f>G338</f>
        <v>5207065.379999999</v>
      </c>
      <c r="H352" s="41">
        <f>H338</f>
        <v>1686958.94</v>
      </c>
      <c r="I352" s="41">
        <f>I338</f>
        <v>1080598.0899999999</v>
      </c>
      <c r="J352" s="41">
        <f>J338</f>
        <v>860488.54</v>
      </c>
      <c r="K352" s="47">
        <f>K338+K351</f>
        <v>391455.98</v>
      </c>
      <c r="L352" s="41">
        <f>L338+L351</f>
        <v>19990760.739999995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121922.38+54957.16+585301.58</f>
        <v>762181.12</v>
      </c>
      <c r="G358" s="18">
        <f>79469.21+24363.88+173733.73</f>
        <v>277566.82</v>
      </c>
      <c r="H358" s="18">
        <f>40988.21+6849.78+12713.48+2118.05+431.37+5075.57+39.59+174566.36+36666.15+1114.2+17133.75</f>
        <v>297696.51</v>
      </c>
      <c r="I358" s="18">
        <f>12659.58+4479.39+160256.07+885140.75+8333.33+8333.33-0.01</f>
        <v>1079202.4400000002</v>
      </c>
      <c r="J358" s="18">
        <v>5104</v>
      </c>
      <c r="K358" s="18"/>
      <c r="L358" s="13">
        <f>SUM(F358:K358)</f>
        <v>2421750.89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72086.09+130823.07+380842.41</f>
        <v>583751.56999999995</v>
      </c>
      <c r="G359" s="18">
        <f>46985.83+47977.07+123227.25</f>
        <v>218190.15</v>
      </c>
      <c r="H359" s="18">
        <f>24234.11+4049.9+7516.79+1252.29+255.05+3000.91+23.41+16816.67+9436.82+268.56+6596.25</f>
        <v>73450.760000000009</v>
      </c>
      <c r="I359" s="18">
        <f>7484.92+2648.42+94750.73+434906.79+8333.33+8333.33</f>
        <v>556457.5199999999</v>
      </c>
      <c r="J359" s="18"/>
      <c r="K359" s="18"/>
      <c r="L359" s="19">
        <f>SUM(F359:K359)</f>
        <v>1431850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77569.93+104615.71+429674.52</f>
        <v>611860.16</v>
      </c>
      <c r="G360" s="18">
        <f>50560.21+44934.9+154339.28</f>
        <v>249834.39</v>
      </c>
      <c r="H360" s="18">
        <f>26077.68+4357.99+8088.62+1347.55+274.45+3229.2+25.19+17446.66+13451.99+204.72+4833.75</f>
        <v>79337.8</v>
      </c>
      <c r="I360" s="18">
        <f>8054.33+2849.9+101958.74+470213.77+8333.34+8333.34</f>
        <v>599743.41999999993</v>
      </c>
      <c r="J360" s="18"/>
      <c r="K360" s="18"/>
      <c r="L360" s="19">
        <f>SUM(F360:K360)</f>
        <v>1540775.77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1957792.85</v>
      </c>
      <c r="G362" s="47">
        <f t="shared" si="22"/>
        <v>745591.36</v>
      </c>
      <c r="H362" s="47">
        <f t="shared" si="22"/>
        <v>450485.07</v>
      </c>
      <c r="I362" s="47">
        <f t="shared" si="22"/>
        <v>2235403.38</v>
      </c>
      <c r="J362" s="47">
        <f t="shared" si="22"/>
        <v>5104</v>
      </c>
      <c r="K362" s="47">
        <f t="shared" si="22"/>
        <v>0</v>
      </c>
      <c r="L362" s="47">
        <f t="shared" si="22"/>
        <v>5394376.6600000001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973854.69</v>
      </c>
      <c r="G367" s="18">
        <v>496955.78</v>
      </c>
      <c r="H367" s="18">
        <v>539415.6</v>
      </c>
      <c r="I367" s="56">
        <f>SUM(F367:H367)</f>
        <v>2010226.0699999998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105347.76</v>
      </c>
      <c r="G368" s="63">
        <v>59501.74</v>
      </c>
      <c r="H368" s="63">
        <v>60327.81</v>
      </c>
      <c r="I368" s="56">
        <f>SUM(F368:H368)</f>
        <v>225177.31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1079202.45</v>
      </c>
      <c r="G369" s="47">
        <f>SUM(G367:G368)</f>
        <v>556457.52</v>
      </c>
      <c r="H369" s="47">
        <f>SUM(H367:H368)</f>
        <v>599743.40999999992</v>
      </c>
      <c r="I369" s="47">
        <f>SUM(I367:I368)</f>
        <v>2235403.38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11398</v>
      </c>
      <c r="I395" s="18"/>
      <c r="J395" s="24" t="s">
        <v>289</v>
      </c>
      <c r="K395" s="24" t="s">
        <v>289</v>
      </c>
      <c r="L395" s="56">
        <f t="shared" ref="L395:L400" si="26">SUM(F395:K395)</f>
        <v>11398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2109</v>
      </c>
      <c r="I396" s="18"/>
      <c r="J396" s="24" t="s">
        <v>289</v>
      </c>
      <c r="K396" s="24" t="s">
        <v>289</v>
      </c>
      <c r="L396" s="56">
        <f t="shared" si="26"/>
        <v>2109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25233</v>
      </c>
      <c r="I397" s="18"/>
      <c r="J397" s="24" t="s">
        <v>289</v>
      </c>
      <c r="K397" s="24" t="s">
        <v>289</v>
      </c>
      <c r="L397" s="56">
        <f t="shared" si="26"/>
        <v>25233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11092</v>
      </c>
      <c r="H400" s="18">
        <f>19+111</f>
        <v>130</v>
      </c>
      <c r="I400" s="18"/>
      <c r="J400" s="24" t="s">
        <v>289</v>
      </c>
      <c r="K400" s="24" t="s">
        <v>289</v>
      </c>
      <c r="L400" s="56">
        <f t="shared" si="26"/>
        <v>11222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11092</v>
      </c>
      <c r="H401" s="47">
        <f>SUM(H395:H400)</f>
        <v>38870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49962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11092</v>
      </c>
      <c r="H408" s="47">
        <f>H393+H401+H407</f>
        <v>38870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49962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>
        <v>1392732</v>
      </c>
      <c r="L421" s="56">
        <f t="shared" ref="L421:L426" si="29">SUM(F421:K421)</f>
        <v>1392732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91120</v>
      </c>
      <c r="L422" s="56">
        <f t="shared" si="29"/>
        <v>91120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1120000</v>
      </c>
      <c r="L423" s="56">
        <f t="shared" si="29"/>
        <v>1120000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2603852</v>
      </c>
      <c r="L427" s="47">
        <f t="shared" si="30"/>
        <v>2603852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2603852</v>
      </c>
      <c r="L434" s="47">
        <f t="shared" si="32"/>
        <v>2603852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3507187.66</v>
      </c>
      <c r="H442" s="18"/>
      <c r="I442" s="56">
        <f t="shared" si="33"/>
        <v>3507187.66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3507187.66</v>
      </c>
      <c r="H446" s="13">
        <f>SUM(H439:H445)</f>
        <v>0</v>
      </c>
      <c r="I446" s="13">
        <f>SUM(I439:I445)</f>
        <v>3507187.66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2592760</v>
      </c>
      <c r="H448" s="18"/>
      <c r="I448" s="56">
        <f>SUM(F448:H448)</f>
        <v>2592760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2592760</v>
      </c>
      <c r="H452" s="72">
        <f>SUM(H448:H451)</f>
        <v>0</v>
      </c>
      <c r="I452" s="72">
        <f>SUM(I448:I451)</f>
        <v>2592760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914427.66</v>
      </c>
      <c r="H459" s="18"/>
      <c r="I459" s="56">
        <f t="shared" si="34"/>
        <v>914427.66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914427.66</v>
      </c>
      <c r="H460" s="83">
        <f>SUM(H454:H459)</f>
        <v>0</v>
      </c>
      <c r="I460" s="83">
        <f>SUM(I454:I459)</f>
        <v>914427.66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3507187.66</v>
      </c>
      <c r="H461" s="42">
        <f>H452+H460</f>
        <v>0</v>
      </c>
      <c r="I461" s="42">
        <f>I452+I460</f>
        <v>3507187.66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f>949606.32</f>
        <v>949606.32</v>
      </c>
      <c r="G465" s="18">
        <v>168470.66</v>
      </c>
      <c r="H465" s="18">
        <v>1085074.56</v>
      </c>
      <c r="I465" s="18">
        <v>0</v>
      </c>
      <c r="J465" s="18">
        <v>3468317.66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164321768.44</v>
      </c>
      <c r="G468" s="18">
        <v>5413314.5999999996</v>
      </c>
      <c r="H468" s="18">
        <v>20000039.309999999</v>
      </c>
      <c r="I468" s="18"/>
      <c r="J468" s="18">
        <v>49962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164321768.44</v>
      </c>
      <c r="G470" s="53">
        <f>SUM(G468:G469)</f>
        <v>5413314.5999999996</v>
      </c>
      <c r="H470" s="53">
        <f>SUM(H468:H469)</f>
        <v>20000039.309999999</v>
      </c>
      <c r="I470" s="53">
        <f>SUM(I468:I469)</f>
        <v>0</v>
      </c>
      <c r="J470" s="53">
        <f>SUM(J468:J469)</f>
        <v>49962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163645938.13999999</v>
      </c>
      <c r="G472" s="18">
        <v>5394376.6600000001</v>
      </c>
      <c r="H472" s="18">
        <v>19990760.739999998</v>
      </c>
      <c r="I472" s="18"/>
      <c r="J472" s="18">
        <v>2603852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163645938.13999999</v>
      </c>
      <c r="G474" s="53">
        <f>SUM(G472:G473)</f>
        <v>5394376.6600000001</v>
      </c>
      <c r="H474" s="53">
        <f>SUM(H472:H473)</f>
        <v>19990760.739999998</v>
      </c>
      <c r="I474" s="53">
        <f>SUM(I472:I473)</f>
        <v>0</v>
      </c>
      <c r="J474" s="53">
        <f>SUM(J472:J473)</f>
        <v>2603852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1625436.6200000048</v>
      </c>
      <c r="G476" s="53">
        <f>(G465+G470)- G474</f>
        <v>187408.59999999963</v>
      </c>
      <c r="H476" s="53">
        <f>(H465+H470)- H474</f>
        <v>1094353.129999999</v>
      </c>
      <c r="I476" s="53">
        <f>(I465+I470)- I474</f>
        <v>0</v>
      </c>
      <c r="J476" s="53">
        <f>(J465+J470)- J474</f>
        <v>914427.66000000015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6758972.9699999997</v>
      </c>
      <c r="G507" s="144">
        <v>2123505.35</v>
      </c>
      <c r="H507" s="144">
        <v>1271547.77</v>
      </c>
      <c r="I507" s="144">
        <v>7610930.5499999998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6435473.54+23309.82+857650.12+452760.04+75445.01+206014.4+39553.75+65620.78+143333.58+155521.86+24839.04+9820.97-11189.4</f>
        <v>8478153.5099999998</v>
      </c>
      <c r="G521" s="18">
        <f>4527838.01+1766.25+6876.42+391764.33+242739.35+38588.99+96122.21+54651.26+37048.52-190599.62+96362.58+23560.43+6158.47-3592.9</f>
        <v>5329284.299999998</v>
      </c>
      <c r="H521" s="18">
        <f>99314.13+758.62+741.28+303572.25+2722.52+124.95+119580.06+703.42+30169.28+235001.56+631972.02+134.94+270670.05+46423.92+44961+75.6+605.94+97.5+68-72435</f>
        <v>1715262.04</v>
      </c>
      <c r="I521" s="18">
        <f>71523.72+7452.79+155+137.85+81.43+189+15304.75+1011.96</f>
        <v>95856.5</v>
      </c>
      <c r="J521" s="18">
        <f>1261.45+339.48+474.96</f>
        <v>2075.89</v>
      </c>
      <c r="K521" s="18">
        <v>244.8</v>
      </c>
      <c r="L521" s="88">
        <f>SUM(F521:K521)</f>
        <v>15620877.039999999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3306545.6+29623+316081.24+382538.38+96427.09+40339.03+83611.25+90721.08+14489.44+5728.9-6527.15</f>
        <v>4359577.8600000003</v>
      </c>
      <c r="G522" s="18">
        <f>2134703.85+10027.21+164744.81+195616.28+3000+47945.47+3.49+28807.66-111183.11+56211.5+13743.59+3592.44-2095.86</f>
        <v>2545117.3300000005</v>
      </c>
      <c r="H522" s="18">
        <f>182517.32+392063.07+1592.68+446641.97+979683.87+89010.14+157890.86+27080.62+26227.25+44.1+353.47+56.88+39.67-42253.75</f>
        <v>2260948.1500000004</v>
      </c>
      <c r="I522" s="18">
        <f>11644.39+108.9+420+535.63+8927.77+590.31</f>
        <v>22227</v>
      </c>
      <c r="J522" s="18">
        <f>198.03+277.06</f>
        <v>475.09000000000003</v>
      </c>
      <c r="K522" s="18">
        <v>142.80000000000001</v>
      </c>
      <c r="L522" s="88">
        <f>SUM(F522:K522)</f>
        <v>9188488.2300000023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2890398.84+6279.8+302783+538409.32+65331+20465.92+118412.32+69097.5+2908.4+10664.32+4792.54+2127.55+171204+185762.22+29668.85+11730.6-13365.11</f>
        <v>4416671.0699999975</v>
      </c>
      <c r="G523" s="18">
        <f>1672726.87+3141+173577.47+325717.53+35319.75+23171.9+76079.03+37911.79+1333.04+6149.02+3412.94+1196.01-227660.65+115099.75+28141.63+7355.95-4291.52</f>
        <v>2278381.5099999998</v>
      </c>
      <c r="H523" s="18">
        <f>136447.19+1176.01+540.6+1341184.7+1131.21+65204.78+773424.9+1083179.5+30+169119.27+323300.33+55450.79+53703.41+90.3+723.76+116.46+81.22-86519.58</f>
        <v>3918384.85</v>
      </c>
      <c r="I523" s="18">
        <f>8393.37+1122.68+18280.68+1208.73</f>
        <v>29005.460000000003</v>
      </c>
      <c r="J523" s="18">
        <f>6823.67+405.49+567.32</f>
        <v>7796.48</v>
      </c>
      <c r="K523" s="18">
        <f>292.4-0.01</f>
        <v>292.39</v>
      </c>
      <c r="L523" s="88">
        <f>SUM(F523:K523)</f>
        <v>10650531.76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17254402.439999998</v>
      </c>
      <c r="G524" s="108">
        <f t="shared" ref="G524:L524" si="36">SUM(G521:G523)</f>
        <v>10152783.139999999</v>
      </c>
      <c r="H524" s="108">
        <f t="shared" si="36"/>
        <v>7894595.040000001</v>
      </c>
      <c r="I524" s="108">
        <f t="shared" si="36"/>
        <v>147088.95999999999</v>
      </c>
      <c r="J524" s="108">
        <f t="shared" si="36"/>
        <v>10347.459999999999</v>
      </c>
      <c r="K524" s="108">
        <f t="shared" si="36"/>
        <v>679.99</v>
      </c>
      <c r="L524" s="89">
        <f t="shared" si="36"/>
        <v>35459897.030000001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2096.64+433951.08+1007827.37+502254+171860.26</f>
        <v>2117989.35</v>
      </c>
      <c r="G526" s="18">
        <f>145.13+204394.02+491174.16+1500+278656.67+818.46+710+2990.5+97353.72</f>
        <v>1077742.6599999999</v>
      </c>
      <c r="H526" s="18">
        <f>199884.77+11015.25+993.75+534.34+4817.13+562.57+113.44+270065.28+881.56</f>
        <v>488868.09</v>
      </c>
      <c r="I526" s="18">
        <f>700.62+119.04+222.78+1845.1+1202.46</f>
        <v>4090</v>
      </c>
      <c r="J526" s="18"/>
      <c r="K526" s="18"/>
      <c r="L526" s="88">
        <f>SUM(F526:K526)</f>
        <v>3688690.0999999996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154612.94+97133.61+12073.59+100251.82</f>
        <v>364071.96</v>
      </c>
      <c r="G527" s="18">
        <f>66787.19+37510.69+8818.92+1968.99+56789.67</f>
        <v>171875.46000000002</v>
      </c>
      <c r="H527" s="18">
        <f>177955.27+268.38+22975.99+2281.01+45.27+25.99+157538.08+514.24</f>
        <v>361604.23</v>
      </c>
      <c r="I527" s="18"/>
      <c r="J527" s="18"/>
      <c r="K527" s="18"/>
      <c r="L527" s="88">
        <f>SUM(F527:K527)</f>
        <v>897551.65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6950.32+80058.88+146042.98+38983.6+10970.86+205277.53</f>
        <v>488284.17000000004</v>
      </c>
      <c r="G528" s="18">
        <f>5135.32+47891.68+57659.93+18759.57+2398.67+1536.98+116283.61</f>
        <v>249665.76</v>
      </c>
      <c r="H528" s="18">
        <f>1477.8+70809.33+199.55+14123.31+9698.43+8515.04+4075.05+6106.68+6963.68+322577.97+1052.97+0.01</f>
        <v>445599.81999999995</v>
      </c>
      <c r="I528" s="18"/>
      <c r="J528" s="18"/>
      <c r="K528" s="18"/>
      <c r="L528" s="88">
        <f>SUM(F528:K528)</f>
        <v>1183549.75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2970345.48</v>
      </c>
      <c r="G529" s="89">
        <f t="shared" ref="G529:L529" si="37">SUM(G526:G528)</f>
        <v>1499283.88</v>
      </c>
      <c r="H529" s="89">
        <f t="shared" si="37"/>
        <v>1296072.1400000001</v>
      </c>
      <c r="I529" s="89">
        <f t="shared" si="37"/>
        <v>4090</v>
      </c>
      <c r="J529" s="89">
        <f t="shared" si="37"/>
        <v>0</v>
      </c>
      <c r="K529" s="89">
        <f t="shared" si="37"/>
        <v>0</v>
      </c>
      <c r="L529" s="89">
        <f t="shared" si="37"/>
        <v>5769791.5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87327.07</f>
        <v>87327.07</v>
      </c>
      <c r="G531" s="18">
        <v>29009.439999999999</v>
      </c>
      <c r="H531" s="18">
        <v>239.98</v>
      </c>
      <c r="I531" s="18"/>
      <c r="J531" s="18"/>
      <c r="K531" s="18"/>
      <c r="L531" s="88">
        <f>SUM(F531:K531)</f>
        <v>116576.49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50940.79</v>
      </c>
      <c r="G532" s="18">
        <v>16922.18</v>
      </c>
      <c r="H532" s="18">
        <v>139.99</v>
      </c>
      <c r="I532" s="18"/>
      <c r="J532" s="18"/>
      <c r="K532" s="18"/>
      <c r="L532" s="88">
        <f>SUM(F532:K532)</f>
        <v>68002.960000000006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104307.34</v>
      </c>
      <c r="G533" s="18">
        <v>34650.17</v>
      </c>
      <c r="H533" s="18">
        <f>286.64+395</f>
        <v>681.64</v>
      </c>
      <c r="I533" s="18"/>
      <c r="J533" s="18"/>
      <c r="K533" s="18"/>
      <c r="L533" s="88">
        <f>SUM(F533:K533)</f>
        <v>139639.15000000002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242575.2</v>
      </c>
      <c r="G534" s="89">
        <f t="shared" ref="G534:L534" si="38">SUM(G531:G533)</f>
        <v>80581.789999999994</v>
      </c>
      <c r="H534" s="89">
        <f t="shared" si="38"/>
        <v>1061.6100000000001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324218.60000000003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28996.75</v>
      </c>
      <c r="I536" s="18"/>
      <c r="J536" s="18"/>
      <c r="K536" s="18"/>
      <c r="L536" s="88">
        <f>SUM(F536:K536)</f>
        <v>28996.75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16914.77</v>
      </c>
      <c r="I537" s="18"/>
      <c r="J537" s="18"/>
      <c r="K537" s="18"/>
      <c r="L537" s="88">
        <f>SUM(F537:K537)</f>
        <v>16914.77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34635.01</v>
      </c>
      <c r="I538" s="18"/>
      <c r="J538" s="18"/>
      <c r="K538" s="18"/>
      <c r="L538" s="88">
        <f>SUM(F538:K538)</f>
        <v>34635.01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80546.53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80546.53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11749.92</v>
      </c>
      <c r="G541" s="18">
        <v>4565.59</v>
      </c>
      <c r="H541" s="18">
        <v>1276186.79</v>
      </c>
      <c r="I541" s="18"/>
      <c r="J541" s="18"/>
      <c r="K541" s="18"/>
      <c r="L541" s="88">
        <f>SUM(F541:K541)</f>
        <v>1292502.3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5943.08</v>
      </c>
      <c r="G542" s="18">
        <v>2309.27</v>
      </c>
      <c r="H542" s="18">
        <v>645484.43999999994</v>
      </c>
      <c r="I542" s="18"/>
      <c r="J542" s="18"/>
      <c r="K542" s="18"/>
      <c r="L542" s="88">
        <f>SUM(F542:K542)</f>
        <v>653736.78999999992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7506.03</v>
      </c>
      <c r="G543" s="18">
        <v>2916.57</v>
      </c>
      <c r="H543" s="18">
        <v>815272.74</v>
      </c>
      <c r="I543" s="18"/>
      <c r="J543" s="18"/>
      <c r="K543" s="18"/>
      <c r="L543" s="88">
        <f>SUM(F543:K543)</f>
        <v>825695.34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25199.03</v>
      </c>
      <c r="G544" s="193">
        <f t="shared" ref="G544:L544" si="40">SUM(G541:G543)</f>
        <v>9791.43</v>
      </c>
      <c r="H544" s="193">
        <f t="shared" si="40"/>
        <v>2736943.9699999997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2771934.4299999997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20492522.149999999</v>
      </c>
      <c r="G545" s="89">
        <f t="shared" ref="G545:L545" si="41">G524+G529+G534+G539+G544</f>
        <v>11742440.239999998</v>
      </c>
      <c r="H545" s="89">
        <f t="shared" si="41"/>
        <v>12009219.289999999</v>
      </c>
      <c r="I545" s="89">
        <f t="shared" si="41"/>
        <v>151178.96</v>
      </c>
      <c r="J545" s="89">
        <f t="shared" si="41"/>
        <v>10347.459999999999</v>
      </c>
      <c r="K545" s="89">
        <f t="shared" si="41"/>
        <v>679.99</v>
      </c>
      <c r="L545" s="89">
        <f t="shared" si="41"/>
        <v>44406388.090000004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15620877.039999999</v>
      </c>
      <c r="G549" s="87">
        <f>L526</f>
        <v>3688690.0999999996</v>
      </c>
      <c r="H549" s="87">
        <f>L531</f>
        <v>116576.49</v>
      </c>
      <c r="I549" s="87">
        <f>L536</f>
        <v>28996.75</v>
      </c>
      <c r="J549" s="87">
        <f>L541</f>
        <v>1292502.3</v>
      </c>
      <c r="K549" s="87">
        <f>SUM(F549:J549)</f>
        <v>20747642.68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9188488.2300000023</v>
      </c>
      <c r="G550" s="87">
        <f>L527</f>
        <v>897551.65</v>
      </c>
      <c r="H550" s="87">
        <f>L532</f>
        <v>68002.960000000006</v>
      </c>
      <c r="I550" s="87">
        <f>L537</f>
        <v>16914.77</v>
      </c>
      <c r="J550" s="87">
        <f>L542</f>
        <v>653736.78999999992</v>
      </c>
      <c r="K550" s="87">
        <f>SUM(F550:J550)</f>
        <v>10824694.400000002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10650531.76</v>
      </c>
      <c r="G551" s="87">
        <f>L528</f>
        <v>1183549.75</v>
      </c>
      <c r="H551" s="87">
        <f>L533</f>
        <v>139639.15000000002</v>
      </c>
      <c r="I551" s="87">
        <f>L538</f>
        <v>34635.01</v>
      </c>
      <c r="J551" s="87">
        <f>L543</f>
        <v>825695.34</v>
      </c>
      <c r="K551" s="87">
        <f>SUM(F551:J551)</f>
        <v>12834051.01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35459897.030000001</v>
      </c>
      <c r="G552" s="89">
        <f t="shared" si="42"/>
        <v>5769791.5</v>
      </c>
      <c r="H552" s="89">
        <f t="shared" si="42"/>
        <v>324218.60000000003</v>
      </c>
      <c r="I552" s="89">
        <f t="shared" si="42"/>
        <v>80546.53</v>
      </c>
      <c r="J552" s="89">
        <f t="shared" si="42"/>
        <v>2771934.4299999997</v>
      </c>
      <c r="K552" s="89">
        <f t="shared" si="42"/>
        <v>44406388.090000004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f>595048.33+3378543.97+0.01</f>
        <v>3973592.31</v>
      </c>
      <c r="G557" s="18">
        <f>300618.02+1241092.38</f>
        <v>1541710.4</v>
      </c>
      <c r="H557" s="18">
        <f>732933.85+234070.95+4406.75+64507.39</f>
        <v>1035918.9400000001</v>
      </c>
      <c r="I557" s="18">
        <f>16095.05+162320.63+232915.3</f>
        <v>411330.98</v>
      </c>
      <c r="J557" s="18">
        <f>9230.25+284041.75+70721.17</f>
        <v>363993.17</v>
      </c>
      <c r="K557" s="18">
        <f>1204.85</f>
        <v>1204.8499999999999</v>
      </c>
      <c r="L557" s="88">
        <f>SUM(F557:K557)</f>
        <v>7327750.6500000004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f>14974.87+56089.11</f>
        <v>71063.98</v>
      </c>
      <c r="G558" s="18">
        <f>7565.29+31442.74</f>
        <v>39008.03</v>
      </c>
      <c r="H558" s="18">
        <f>18444.87+342.56+2452.42</f>
        <v>21239.85</v>
      </c>
      <c r="I558" s="18">
        <f>405.04+5388.25+11689.09</f>
        <v>17482.38</v>
      </c>
      <c r="J558" s="18">
        <f>232.29+35351.88</f>
        <v>35584.17</v>
      </c>
      <c r="K558" s="18">
        <f>30.32</f>
        <v>30.32</v>
      </c>
      <c r="L558" s="88">
        <f>SUM(F558:K558)</f>
        <v>184408.72999999998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f>803.41+6203.57</f>
        <v>7006.98</v>
      </c>
      <c r="G559" s="18">
        <f>405.88+1455.34</f>
        <v>1861.2199999999998</v>
      </c>
      <c r="H559" s="18">
        <f>989.57</f>
        <v>989.57</v>
      </c>
      <c r="I559" s="18">
        <f>21.73</f>
        <v>21.73</v>
      </c>
      <c r="J559" s="18">
        <f>12.46</f>
        <v>12.46</v>
      </c>
      <c r="K559" s="18">
        <f>1.63</f>
        <v>1.63</v>
      </c>
      <c r="L559" s="88">
        <f>SUM(F559:K559)</f>
        <v>9893.5899999999965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4051663.27</v>
      </c>
      <c r="G560" s="108">
        <f t="shared" si="43"/>
        <v>1582579.65</v>
      </c>
      <c r="H560" s="108">
        <f t="shared" si="43"/>
        <v>1058148.3600000001</v>
      </c>
      <c r="I560" s="108">
        <f t="shared" si="43"/>
        <v>428835.08999999997</v>
      </c>
      <c r="J560" s="108">
        <f t="shared" si="43"/>
        <v>399589.8</v>
      </c>
      <c r="K560" s="108">
        <f t="shared" si="43"/>
        <v>1236.8</v>
      </c>
      <c r="L560" s="89">
        <f t="shared" si="43"/>
        <v>7522052.9700000007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101588.65+1819572.31</f>
        <v>1921160.96</v>
      </c>
      <c r="G562" s="18">
        <f>43770.77+1029802.79</f>
        <v>1073573.56</v>
      </c>
      <c r="H562" s="18">
        <f>23216.27+9096.61+2369.28</f>
        <v>34682.160000000003</v>
      </c>
      <c r="I562" s="18">
        <f>27828.08+636.02</f>
        <v>28464.100000000002</v>
      </c>
      <c r="J562" s="18">
        <f>10980.57</f>
        <v>10980.57</v>
      </c>
      <c r="K562" s="18"/>
      <c r="L562" s="88">
        <f>SUM(F562:K562)</f>
        <v>3068861.35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38338.39+679244.12</f>
        <v>717582.51</v>
      </c>
      <c r="G563" s="18">
        <f>16518.58+397902.01</f>
        <v>414420.59</v>
      </c>
      <c r="H563" s="18">
        <f>8761.55+1919.04+285.5</f>
        <v>10966.09</v>
      </c>
      <c r="I563" s="18">
        <f>10502-340+877.8</f>
        <v>11039.8</v>
      </c>
      <c r="J563" s="18">
        <f>4143.94</f>
        <v>4143.9399999999996</v>
      </c>
      <c r="K563" s="18"/>
      <c r="L563" s="88">
        <f>SUM(F563:K563)</f>
        <v>1158152.9300000002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45501.89+855437.52</f>
        <v>900939.41</v>
      </c>
      <c r="G564" s="18">
        <f>19605.07+416219.22</f>
        <v>435824.29</v>
      </c>
      <c r="H564" s="18">
        <f>10398.65+2253.2+832.5+1350</f>
        <v>14834.349999999999</v>
      </c>
      <c r="I564" s="18">
        <f>12464.29+66.81+5505.82</f>
        <v>18036.919999999998</v>
      </c>
      <c r="J564" s="18">
        <f>4918.23</f>
        <v>4918.2299999999996</v>
      </c>
      <c r="K564" s="18"/>
      <c r="L564" s="88">
        <f>SUM(F564:K564)</f>
        <v>1374553.2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3539682.88</v>
      </c>
      <c r="G565" s="89">
        <f t="shared" si="44"/>
        <v>1923818.4400000002</v>
      </c>
      <c r="H565" s="89">
        <f t="shared" si="44"/>
        <v>60482.6</v>
      </c>
      <c r="I565" s="89">
        <f t="shared" si="44"/>
        <v>57540.82</v>
      </c>
      <c r="J565" s="89">
        <f t="shared" si="44"/>
        <v>20042.739999999998</v>
      </c>
      <c r="K565" s="89">
        <f t="shared" si="44"/>
        <v>0</v>
      </c>
      <c r="L565" s="89">
        <f t="shared" si="44"/>
        <v>5601567.4800000004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7591346.1500000004</v>
      </c>
      <c r="G571" s="89">
        <f t="shared" ref="G571:L571" si="46">G560+G565+G570</f>
        <v>3506398.09</v>
      </c>
      <c r="H571" s="89">
        <f t="shared" si="46"/>
        <v>1118630.9600000002</v>
      </c>
      <c r="I571" s="89">
        <f t="shared" si="46"/>
        <v>486375.91</v>
      </c>
      <c r="J571" s="89">
        <f t="shared" si="46"/>
        <v>419632.54</v>
      </c>
      <c r="K571" s="89">
        <f t="shared" si="46"/>
        <v>1236.8</v>
      </c>
      <c r="L571" s="89">
        <f t="shared" si="46"/>
        <v>13123620.450000001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54148.43+39289.66+631972.02</f>
        <v>725410.11</v>
      </c>
      <c r="G579" s="18">
        <f>3360+883314.53</f>
        <v>886674.53</v>
      </c>
      <c r="H579" s="18">
        <f>307695.18+32028+1319784.57</f>
        <v>1659507.75</v>
      </c>
      <c r="I579" s="87">
        <f t="shared" si="47"/>
        <v>3271592.39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>
        <f>64937.55</f>
        <v>64937.55</v>
      </c>
      <c r="H580" s="18"/>
      <c r="I580" s="87">
        <f t="shared" si="47"/>
        <v>64937.55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15800+619857.96</f>
        <v>635657.96</v>
      </c>
      <c r="G582" s="18">
        <f>955786.97</f>
        <v>955786.97</v>
      </c>
      <c r="H582" s="18">
        <f>214.63+1821589.92</f>
        <v>1821804.5499999998</v>
      </c>
      <c r="I582" s="87">
        <f t="shared" si="47"/>
        <v>3413249.4799999995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10984.94+4268.35+1193101.1</f>
        <v>1208354.3900000001</v>
      </c>
      <c r="I591" s="18">
        <f>10966.94+4261.35+1191131.07</f>
        <v>1206359.3600000001</v>
      </c>
      <c r="J591" s="18">
        <f>1426.59+554.32+154949.67</f>
        <v>156930.58000000002</v>
      </c>
      <c r="K591" s="104">
        <f t="shared" ref="K591:K597" si="48">SUM(H591:J591)</f>
        <v>2571644.33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11749.92+4565.59+1276186.79</f>
        <v>1292502.3</v>
      </c>
      <c r="I592" s="18">
        <f>5943.08+2309.27+645484.44</f>
        <v>653736.78999999992</v>
      </c>
      <c r="J592" s="18">
        <f>7506.03+2916.57+815272.74</f>
        <v>825695.34</v>
      </c>
      <c r="K592" s="104">
        <f t="shared" si="48"/>
        <v>2771934.4299999997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25042.28</v>
      </c>
      <c r="J594" s="18">
        <v>105492.6</v>
      </c>
      <c r="K594" s="104">
        <f t="shared" si="48"/>
        <v>130534.88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4026.12</v>
      </c>
      <c r="I595" s="18">
        <f>2994.6+647.5</f>
        <v>3642.1</v>
      </c>
      <c r="J595" s="18">
        <f>1581.88+3897.25</f>
        <v>5479.13</v>
      </c>
      <c r="K595" s="104">
        <f t="shared" si="48"/>
        <v>13147.349999999999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2504882.8100000005</v>
      </c>
      <c r="I598" s="108">
        <f>SUM(I591:I597)</f>
        <v>1888780.53</v>
      </c>
      <c r="J598" s="108">
        <f>SUM(J591:J597)</f>
        <v>1093597.6499999999</v>
      </c>
      <c r="K598" s="108">
        <f>SUM(K591:K597)</f>
        <v>5487260.9899999993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498349.94</v>
      </c>
      <c r="I604" s="18">
        <v>107678.54</v>
      </c>
      <c r="J604" s="18">
        <f>495656.82+9536.97</f>
        <v>505193.79</v>
      </c>
      <c r="K604" s="104">
        <f>SUM(H604:J604)</f>
        <v>1111222.27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498349.94</v>
      </c>
      <c r="I605" s="108">
        <f>SUM(I602:I604)</f>
        <v>107678.54</v>
      </c>
      <c r="J605" s="108">
        <f>SUM(J602:J604)</f>
        <v>505193.79</v>
      </c>
      <c r="K605" s="108">
        <f>SUM(K602:K604)</f>
        <v>1111222.27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113888.34</v>
      </c>
      <c r="G611" s="18">
        <v>23613.49</v>
      </c>
      <c r="H611" s="18">
        <f>59783.16+717.37+118659.55+23.75</f>
        <v>179183.83000000002</v>
      </c>
      <c r="I611" s="18">
        <v>77.17</v>
      </c>
      <c r="J611" s="18"/>
      <c r="K611" s="18"/>
      <c r="L611" s="88">
        <f>SUM(F611:K611)</f>
        <v>316762.83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45775.040000000001</v>
      </c>
      <c r="G612" s="18">
        <v>9333.35</v>
      </c>
      <c r="H612" s="18">
        <f>21031.09+246.96+40850.01+8.18</f>
        <v>62136.24</v>
      </c>
      <c r="I612" s="18">
        <v>136.87</v>
      </c>
      <c r="J612" s="18"/>
      <c r="K612" s="18"/>
      <c r="L612" s="88">
        <f>SUM(F612:K612)</f>
        <v>117381.5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52072.61</v>
      </c>
      <c r="G613" s="18">
        <v>10457.049999999999</v>
      </c>
      <c r="H613" s="18">
        <f>18690.93+211.68+35014.29+7.01</f>
        <v>53923.91</v>
      </c>
      <c r="I613" s="18">
        <v>280.14999999999998</v>
      </c>
      <c r="J613" s="18"/>
      <c r="K613" s="18"/>
      <c r="L613" s="88">
        <f>SUM(F613:K613)</f>
        <v>116733.72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211735.99</v>
      </c>
      <c r="G614" s="108">
        <f t="shared" si="49"/>
        <v>43403.89</v>
      </c>
      <c r="H614" s="108">
        <f t="shared" si="49"/>
        <v>295243.98</v>
      </c>
      <c r="I614" s="108">
        <f t="shared" si="49"/>
        <v>494.19</v>
      </c>
      <c r="J614" s="108">
        <f t="shared" si="49"/>
        <v>0</v>
      </c>
      <c r="K614" s="108">
        <f t="shared" si="49"/>
        <v>0</v>
      </c>
      <c r="L614" s="89">
        <f t="shared" si="49"/>
        <v>550878.05000000005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40377967.810000002</v>
      </c>
      <c r="H617" s="109">
        <f>SUM(F52)</f>
        <v>40377967.809999995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305978.51</v>
      </c>
      <c r="H618" s="109">
        <f>SUM(G52)</f>
        <v>305978.51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4440584.3000000007</v>
      </c>
      <c r="H619" s="109">
        <f>SUM(H52)</f>
        <v>4440584.3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3507187.66</v>
      </c>
      <c r="H621" s="109">
        <f>SUM(J52)</f>
        <v>3507187.66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1625436.62</v>
      </c>
      <c r="H622" s="109">
        <f>F476</f>
        <v>1625436.6200000048</v>
      </c>
      <c r="I622" s="121" t="s">
        <v>101</v>
      </c>
      <c r="J622" s="109">
        <f t="shared" ref="J622:J655" si="50">G622-H622</f>
        <v>-4.6566128730773926E-9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187408.6</v>
      </c>
      <c r="H623" s="109">
        <f>G476</f>
        <v>187408.59999999963</v>
      </c>
      <c r="I623" s="121" t="s">
        <v>102</v>
      </c>
      <c r="J623" s="109">
        <f t="shared" si="50"/>
        <v>3.7834979593753815E-10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1094353.1299999999</v>
      </c>
      <c r="H624" s="109">
        <f>H476</f>
        <v>1094353.129999999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914427.66</v>
      </c>
      <c r="H626" s="109">
        <f>J476</f>
        <v>914427.66000000015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164321768.44</v>
      </c>
      <c r="H627" s="104">
        <f>SUM(F468)</f>
        <v>164321768.44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5413314.5999999996</v>
      </c>
      <c r="H628" s="104">
        <f>SUM(G468)</f>
        <v>5413314.5999999996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20000039.309999999</v>
      </c>
      <c r="H629" s="104">
        <f>SUM(H468)</f>
        <v>20000039.309999999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49962</v>
      </c>
      <c r="H631" s="104">
        <f>SUM(J468)</f>
        <v>49962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163645938.14000002</v>
      </c>
      <c r="H632" s="104">
        <f>SUM(F472)</f>
        <v>163645938.13999999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19990760.739999995</v>
      </c>
      <c r="H633" s="104">
        <f>SUM(H472)</f>
        <v>19990760.739999998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2235403.38</v>
      </c>
      <c r="H634" s="104">
        <f>I369</f>
        <v>2235403.38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5394376.6600000001</v>
      </c>
      <c r="H635" s="104">
        <f>SUM(G472)</f>
        <v>5394376.6600000001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49962</v>
      </c>
      <c r="H637" s="164">
        <f>SUM(J468)</f>
        <v>49962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2603852</v>
      </c>
      <c r="H638" s="164">
        <f>SUM(J472)</f>
        <v>2603852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3507187.66</v>
      </c>
      <c r="H640" s="104">
        <f>SUM(G461)</f>
        <v>3507187.66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3507187.66</v>
      </c>
      <c r="H642" s="104">
        <f>SUM(I461)</f>
        <v>3507187.66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38870</v>
      </c>
      <c r="H644" s="104">
        <f>H408</f>
        <v>38870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11092</v>
      </c>
      <c r="H645" s="104">
        <f>G408</f>
        <v>11092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49962</v>
      </c>
      <c r="H646" s="104">
        <f>L408</f>
        <v>49962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5487260.9899999993</v>
      </c>
      <c r="H647" s="104">
        <f>L208+L226+L244</f>
        <v>5487260.9900000002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1111222.27</v>
      </c>
      <c r="H648" s="104">
        <f>(J257+J338)-(J255+J336)</f>
        <v>1111222.27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2504882.81</v>
      </c>
      <c r="H649" s="104">
        <f>H598</f>
        <v>2504882.8100000005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1888780.5299999998</v>
      </c>
      <c r="H650" s="104">
        <f>I598</f>
        <v>1888780.53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1093597.6499999999</v>
      </c>
      <c r="H651" s="104">
        <f>J598</f>
        <v>1093597.6499999999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27449.18</v>
      </c>
      <c r="H652" s="104">
        <f>K263+K345</f>
        <v>27449.18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11092</v>
      </c>
      <c r="H655" s="104">
        <f>K266+K347</f>
        <v>11092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79169527.789999992</v>
      </c>
      <c r="G660" s="19">
        <f>(L229+L309+L359)</f>
        <v>38504085.119999997</v>
      </c>
      <c r="H660" s="19">
        <f>(L247+L328+L360)</f>
        <v>57349350.350000001</v>
      </c>
      <c r="I660" s="19">
        <f>SUM(F660:H660)</f>
        <v>175022963.25999999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425531.88580871915</v>
      </c>
      <c r="G661" s="19">
        <f>(L359/IF(SUM(L358:L360)=0,1,SUM(L358:L360))*(SUM(G97:G110)))</f>
        <v>251593.93280752114</v>
      </c>
      <c r="H661" s="19">
        <f>(L360/IF(SUM(L358:L360)=0,1,SUM(L358:L360))*(SUM(G97:G110)))</f>
        <v>270733.55138375988</v>
      </c>
      <c r="I661" s="19">
        <f>SUM(F661:H661)</f>
        <v>947859.37000000011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2504882.81</v>
      </c>
      <c r="G662" s="19">
        <f>(L226+L306)-(J226+J306)</f>
        <v>1888780.5299999998</v>
      </c>
      <c r="H662" s="19">
        <f>(L244+L325)-(J244+J325)</f>
        <v>1093597.6499999999</v>
      </c>
      <c r="I662" s="19">
        <f>SUM(F662:H662)</f>
        <v>5487260.9900000002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2176180.84</v>
      </c>
      <c r="G663" s="199">
        <f>SUM(G575:G587)+SUM(I602:I604)+L612</f>
        <v>2132459.09</v>
      </c>
      <c r="H663" s="199">
        <f>SUM(H575:H587)+SUM(J602:J604)+L613</f>
        <v>4103239.81</v>
      </c>
      <c r="I663" s="19">
        <f>SUM(F663:H663)</f>
        <v>8411879.7400000002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74062932.254191279</v>
      </c>
      <c r="G664" s="19">
        <f>G660-SUM(G661:G663)</f>
        <v>34231251.56719248</v>
      </c>
      <c r="H664" s="19">
        <f>H660-SUM(H661:H663)</f>
        <v>51881779.338616244</v>
      </c>
      <c r="I664" s="19">
        <f>I660-SUM(I661:I663)</f>
        <v>160175963.16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6712.08</v>
      </c>
      <c r="G665" s="248">
        <v>3028.04</v>
      </c>
      <c r="H665" s="248">
        <v>4261.28</v>
      </c>
      <c r="I665" s="19">
        <f>SUM(F665:H665)</f>
        <v>14001.399999999998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11034.27</v>
      </c>
      <c r="G667" s="19">
        <f>ROUND(G664/G665,2)</f>
        <v>11304.76</v>
      </c>
      <c r="H667" s="19">
        <f>ROUND(H664/H665,2)</f>
        <v>12175.16</v>
      </c>
      <c r="I667" s="19">
        <f>ROUND(I664/I665,2)</f>
        <v>11440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62.22</v>
      </c>
      <c r="I670" s="19">
        <f>SUM(F670:H670)</f>
        <v>62.22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11034.27</v>
      </c>
      <c r="G672" s="19">
        <f>ROUND((G664+G669)/(G665+G670),2)</f>
        <v>11304.76</v>
      </c>
      <c r="H672" s="19">
        <f>ROUND((H664+H669)/(H665+H670),2)</f>
        <v>11999.95</v>
      </c>
      <c r="I672" s="19">
        <f>ROUND((I664+I669)/(I665+I670),2)</f>
        <v>11389.38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workbookViewId="0">
      <selection activeCell="B39" sqref="B39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Manchester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46387453.539999999</v>
      </c>
      <c r="C9" s="229">
        <f>'DOE25'!G197+'DOE25'!G215+'DOE25'!G233+'DOE25'!G276+'DOE25'!G295+'DOE25'!G314</f>
        <v>20603062.309999999</v>
      </c>
    </row>
    <row r="10" spans="1:3" x14ac:dyDescent="0.2">
      <c r="A10" t="s">
        <v>779</v>
      </c>
      <c r="B10" s="240">
        <f>43182096.86+65828.94</f>
        <v>43247925.799999997</v>
      </c>
      <c r="C10" s="240">
        <f>B10*0.46</f>
        <v>19894045.868000001</v>
      </c>
    </row>
    <row r="11" spans="1:3" x14ac:dyDescent="0.2">
      <c r="A11" t="s">
        <v>780</v>
      </c>
      <c r="B11" s="240">
        <v>45067.29</v>
      </c>
      <c r="C11" s="240">
        <f>C9-C10-C12</f>
        <v>90124.351999997511</v>
      </c>
    </row>
    <row r="12" spans="1:3" x14ac:dyDescent="0.2">
      <c r="A12" t="s">
        <v>781</v>
      </c>
      <c r="B12" s="240">
        <f>B9-B10-B11</f>
        <v>3094460.450000002</v>
      </c>
      <c r="C12" s="240">
        <f>B12*0.2</f>
        <v>618892.09000000043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46387453.539999999</v>
      </c>
      <c r="C13" s="231">
        <f>SUM(C10:C12)</f>
        <v>20603062.309999999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24845748.579999998</v>
      </c>
      <c r="C18" s="229">
        <f>'DOE25'!G198+'DOE25'!G216+'DOE25'!G234+'DOE25'!G277+'DOE25'!G296+'DOE25'!G315</f>
        <v>13659181.24</v>
      </c>
    </row>
    <row r="19" spans="1:3" x14ac:dyDescent="0.2">
      <c r="A19" t="s">
        <v>779</v>
      </c>
      <c r="B19" s="240">
        <f>8774626.04+70252.64+1384258.76+1184143.11+39814.66+2630277.74+2801743.19+378200.59</f>
        <v>17263316.73</v>
      </c>
      <c r="C19" s="240">
        <f>B19*0.46</f>
        <v>7941125.6958000008</v>
      </c>
    </row>
    <row r="20" spans="1:3" x14ac:dyDescent="0.2">
      <c r="A20" t="s">
        <v>780</v>
      </c>
      <c r="B20" s="240">
        <f>4264201.99+72457.31+157324.45+60019.67+35630.35+23647.49+361809.05+31375.67</f>
        <v>5006465.9799999995</v>
      </c>
      <c r="C20" s="240">
        <f>C18-C19-C21</f>
        <v>5202862.3701999998</v>
      </c>
    </row>
    <row r="21" spans="1:3" x14ac:dyDescent="0.2">
      <c r="A21" t="s">
        <v>781</v>
      </c>
      <c r="B21" s="240">
        <f>B18-B19-B20</f>
        <v>2575965.8699999982</v>
      </c>
      <c r="C21" s="240">
        <f>B21*0.2</f>
        <v>515193.17399999965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24845748.579999998</v>
      </c>
      <c r="C22" s="231">
        <f>SUM(C19:C21)</f>
        <v>13659181.239999998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2411673.0900000003</v>
      </c>
      <c r="C27" s="234">
        <f>'DOE25'!G199+'DOE25'!G217+'DOE25'!G235+'DOE25'!G278+'DOE25'!G297+'DOE25'!G316</f>
        <v>1280698.19</v>
      </c>
    </row>
    <row r="28" spans="1:3" x14ac:dyDescent="0.2">
      <c r="A28" t="s">
        <v>779</v>
      </c>
      <c r="B28" s="240">
        <f>102464.74+245939.44+206334.22+281011.8+332307.18+758147.42+458382.38</f>
        <v>2384587.1799999997</v>
      </c>
      <c r="C28" s="240">
        <f>C27-C30</f>
        <v>1275281.0079999999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f>B27-B28</f>
        <v>27085.910000000615</v>
      </c>
      <c r="C30" s="240">
        <f>B30*0.2</f>
        <v>5417.1820000001235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2411673.0900000003</v>
      </c>
      <c r="C31" s="231">
        <f>SUM(C28:C30)</f>
        <v>1280698.19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1735274.6300000001</v>
      </c>
      <c r="C36" s="235">
        <f>'DOE25'!G200+'DOE25'!G218+'DOE25'!G236+'DOE25'!G279+'DOE25'!G298+'DOE25'!G317</f>
        <v>367153.48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1735274.63</v>
      </c>
      <c r="C39" s="240">
        <v>367153.48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1735274.63</v>
      </c>
      <c r="C40" s="231">
        <f>SUM(C37:C39)</f>
        <v>367153.48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Manchester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106505424.16</v>
      </c>
      <c r="D5" s="20">
        <f>SUM('DOE25'!L197:L200)+SUM('DOE25'!L215:L218)+SUM('DOE25'!L233:L236)-F5-G5</f>
        <v>106215401.66999999</v>
      </c>
      <c r="E5" s="243"/>
      <c r="F5" s="255">
        <f>SUM('DOE25'!J197:J200)+SUM('DOE25'!J215:J218)+SUM('DOE25'!J233:J236)</f>
        <v>41825.79</v>
      </c>
      <c r="G5" s="53">
        <f>SUM('DOE25'!K197:K200)+SUM('DOE25'!K215:K218)+SUM('DOE25'!K233:K236)</f>
        <v>248196.7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11899848.289999999</v>
      </c>
      <c r="D6" s="20">
        <f>'DOE25'!L202+'DOE25'!L220+'DOE25'!L238-F6-G6</f>
        <v>11899848.289999999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2503955.7200000002</v>
      </c>
      <c r="D7" s="20">
        <f>'DOE25'!L203+'DOE25'!L221+'DOE25'!L239-F7-G7</f>
        <v>2503955.7200000002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516305.18000000011</v>
      </c>
      <c r="D8" s="243"/>
      <c r="E8" s="20">
        <f>'DOE25'!L204+'DOE25'!L222+'DOE25'!L240-F8-G8-D9-D11</f>
        <v>510300.13000000012</v>
      </c>
      <c r="F8" s="255">
        <f>'DOE25'!J204+'DOE25'!J222+'DOE25'!J240</f>
        <v>0</v>
      </c>
      <c r="G8" s="53">
        <f>'DOE25'!K204+'DOE25'!K222+'DOE25'!K240</f>
        <v>6005.05</v>
      </c>
      <c r="H8" s="259"/>
    </row>
    <row r="9" spans="1:9" x14ac:dyDescent="0.2">
      <c r="A9" s="32">
        <v>2310</v>
      </c>
      <c r="B9" t="s">
        <v>818</v>
      </c>
      <c r="C9" s="245">
        <f t="shared" si="0"/>
        <v>594339.22</v>
      </c>
      <c r="D9" s="244">
        <v>594339.22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98400</v>
      </c>
      <c r="D10" s="243"/>
      <c r="E10" s="244">
        <v>98400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607383.69999999995</v>
      </c>
      <c r="D11" s="244">
        <v>607383.69999999995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9862812.7699999996</v>
      </c>
      <c r="D12" s="20">
        <f>'DOE25'!L205+'DOE25'!L223+'DOE25'!L241-F12-G12</f>
        <v>9806857.3699999992</v>
      </c>
      <c r="E12" s="243"/>
      <c r="F12" s="255">
        <f>'DOE25'!J205+'DOE25'!J223+'DOE25'!J241</f>
        <v>0</v>
      </c>
      <c r="G12" s="53">
        <f>'DOE25'!K205+'DOE25'!K223+'DOE25'!K241</f>
        <v>55955.4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1367983.54</v>
      </c>
      <c r="D13" s="243"/>
      <c r="E13" s="20">
        <f>'DOE25'!L206+'DOE25'!L224+'DOE25'!L242-F13-G13</f>
        <v>1367983.54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9168325.0499999989</v>
      </c>
      <c r="D14" s="20">
        <f>'DOE25'!L207+'DOE25'!L225+'DOE25'!L243-F14-G14</f>
        <v>9168325.0499999989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5487260.9900000002</v>
      </c>
      <c r="D15" s="20">
        <f>'DOE25'!L208+'DOE25'!L226+'DOE25'!L244-F15-G15</f>
        <v>5487260.9900000002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2005999.2600000002</v>
      </c>
      <c r="D16" s="243"/>
      <c r="E16" s="20">
        <f>'DOE25'!L209+'DOE25'!L227+'DOE25'!L245-F16-G16</f>
        <v>1800543.0600000003</v>
      </c>
      <c r="F16" s="255">
        <f>'DOE25'!J209+'DOE25'!J227+'DOE25'!J245</f>
        <v>204254.69</v>
      </c>
      <c r="G16" s="53">
        <f>'DOE25'!K209+'DOE25'!K227+'DOE25'!K245</f>
        <v>1201.51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55133.05</v>
      </c>
      <c r="D17" s="20">
        <f>'DOE25'!L251-F17-G17</f>
        <v>50479.8</v>
      </c>
      <c r="E17" s="243"/>
      <c r="F17" s="255">
        <f>'DOE25'!J251</f>
        <v>4653.25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12775672.75</v>
      </c>
      <c r="D25" s="243"/>
      <c r="E25" s="243"/>
      <c r="F25" s="258"/>
      <c r="G25" s="256"/>
      <c r="H25" s="257">
        <f>'DOE25'!L260+'DOE25'!L261+'DOE25'!L341+'DOE25'!L342</f>
        <v>12775672.75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3384150.5900000003</v>
      </c>
      <c r="D29" s="20">
        <f>'DOE25'!L358+'DOE25'!L359+'DOE25'!L360-'DOE25'!I367-F29-G29</f>
        <v>3379046.5900000003</v>
      </c>
      <c r="E29" s="243"/>
      <c r="F29" s="255">
        <f>'DOE25'!J358+'DOE25'!J359+'DOE25'!J360</f>
        <v>5104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19709914.619999994</v>
      </c>
      <c r="D31" s="20">
        <f>'DOE25'!L290+'DOE25'!L309+'DOE25'!L328+'DOE25'!L333+'DOE25'!L334+'DOE25'!L335-F31-G31</f>
        <v>18728707.179999996</v>
      </c>
      <c r="E31" s="243"/>
      <c r="F31" s="255">
        <f>'DOE25'!J290+'DOE25'!J309+'DOE25'!J328+'DOE25'!J333+'DOE25'!J334+'DOE25'!J335</f>
        <v>860488.54</v>
      </c>
      <c r="G31" s="53">
        <f>'DOE25'!K290+'DOE25'!K309+'DOE25'!K328+'DOE25'!K333+'DOE25'!K334+'DOE25'!K335</f>
        <v>120718.9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168441605.58000001</v>
      </c>
      <c r="E33" s="246">
        <f>SUM(E5:E31)</f>
        <v>3777226.7300000004</v>
      </c>
      <c r="F33" s="246">
        <f>SUM(F5:F31)</f>
        <v>1116326.27</v>
      </c>
      <c r="G33" s="246">
        <f>SUM(G5:G31)</f>
        <v>432077.56000000006</v>
      </c>
      <c r="H33" s="246">
        <f>SUM(H5:H31)</f>
        <v>12775672.75</v>
      </c>
    </row>
    <row r="35" spans="2:8" ht="12" thickBot="1" x14ac:dyDescent="0.25">
      <c r="B35" s="253" t="s">
        <v>847</v>
      </c>
      <c r="D35" s="254">
        <f>E33</f>
        <v>3777226.7300000004</v>
      </c>
      <c r="E35" s="249"/>
    </row>
    <row r="36" spans="2:8" ht="12" thickTop="1" x14ac:dyDescent="0.2">
      <c r="B36" t="s">
        <v>815</v>
      </c>
      <c r="D36" s="20">
        <f>D33</f>
        <v>168441605.58000001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Manchester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3140626.5399999996</v>
      </c>
      <c r="D8" s="95">
        <f>'DOE25'!G9</f>
        <v>137823.91</v>
      </c>
      <c r="E8" s="95">
        <f>'DOE25'!H9</f>
        <v>1400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5208096.93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31106362.559999999</v>
      </c>
      <c r="D12" s="95">
        <f>'DOE25'!G13</f>
        <v>134386.84</v>
      </c>
      <c r="E12" s="95">
        <f>'DOE25'!H13</f>
        <v>15238.94</v>
      </c>
      <c r="F12" s="95">
        <f>'DOE25'!I13</f>
        <v>0</v>
      </c>
      <c r="G12" s="95">
        <f>'DOE25'!J13</f>
        <v>3507187.66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894382.85</v>
      </c>
      <c r="D13" s="95">
        <f>'DOE25'!G14</f>
        <v>4269.25</v>
      </c>
      <c r="E13" s="95">
        <f>'DOE25'!H14</f>
        <v>4423704.8600000003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29498.51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28498.93</v>
      </c>
      <c r="D16" s="95">
        <f>'DOE25'!G17</f>
        <v>0</v>
      </c>
      <c r="E16" s="95">
        <f>'DOE25'!H17</f>
        <v>240.5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40377967.810000002</v>
      </c>
      <c r="D18" s="41">
        <f>SUM(D8:D17)</f>
        <v>305978.51</v>
      </c>
      <c r="E18" s="41">
        <f>SUM(E8:E17)</f>
        <v>4440584.3000000007</v>
      </c>
      <c r="F18" s="41">
        <f>SUM(F8:F17)</f>
        <v>0</v>
      </c>
      <c r="G18" s="41">
        <f>SUM(G8:G17)</f>
        <v>3507187.66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24376.9</v>
      </c>
      <c r="E21" s="95">
        <f>'DOE25'!H22</f>
        <v>2590960.0299999998</v>
      </c>
      <c r="F21" s="95">
        <f>'DOE25'!I22</f>
        <v>0</v>
      </c>
      <c r="G21" s="95">
        <f>'DOE25'!J22</f>
        <v>2592760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872051.17</v>
      </c>
      <c r="D23" s="95">
        <f>'DOE25'!G24</f>
        <v>25749.48</v>
      </c>
      <c r="E23" s="95">
        <f>'DOE25'!H24</f>
        <v>271396.65999999997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2988646</v>
      </c>
      <c r="D27" s="95">
        <f>'DOE25'!G28</f>
        <v>17594.72</v>
      </c>
      <c r="E27" s="95">
        <f>'DOE25'!H28</f>
        <v>477374.48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1778715.5799999998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33113118.440000001</v>
      </c>
      <c r="D29" s="95">
        <f>'DOE25'!G30</f>
        <v>50848.81</v>
      </c>
      <c r="E29" s="95">
        <f>'DOE25'!H30</f>
        <v>6500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38752531.189999998</v>
      </c>
      <c r="D31" s="41">
        <f>SUM(D21:D30)</f>
        <v>118569.91</v>
      </c>
      <c r="E31" s="41">
        <f>SUM(E21:E30)</f>
        <v>3346231.17</v>
      </c>
      <c r="F31" s="41">
        <f>SUM(F21:F30)</f>
        <v>0</v>
      </c>
      <c r="G31" s="41">
        <f>SUM(G21:G30)</f>
        <v>2592760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29498.51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28498.93</v>
      </c>
      <c r="D35" s="95">
        <f>'DOE25'!G36</f>
        <v>0</v>
      </c>
      <c r="E35" s="95">
        <f>'DOE25'!H36</f>
        <v>240.5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157910.09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941700.47</v>
      </c>
      <c r="D47" s="95">
        <f>'DOE25'!G48</f>
        <v>0</v>
      </c>
      <c r="E47" s="95">
        <f>'DOE25'!H48</f>
        <v>1094112.6299999999</v>
      </c>
      <c r="F47" s="95">
        <f>'DOE25'!I48</f>
        <v>0</v>
      </c>
      <c r="G47" s="95">
        <f>'DOE25'!J48</f>
        <v>914427.66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148376.22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506861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1625436.62</v>
      </c>
      <c r="D50" s="41">
        <f>SUM(D34:D49)</f>
        <v>187408.6</v>
      </c>
      <c r="E50" s="41">
        <f>SUM(E34:E49)</f>
        <v>1094353.1299999999</v>
      </c>
      <c r="F50" s="41">
        <f>SUM(F34:F49)</f>
        <v>0</v>
      </c>
      <c r="G50" s="41">
        <f>SUM(G34:G49)</f>
        <v>914427.66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40377967.809999995</v>
      </c>
      <c r="D51" s="41">
        <f>D50+D31</f>
        <v>305978.51</v>
      </c>
      <c r="E51" s="41">
        <f>E50+E31</f>
        <v>4440584.3</v>
      </c>
      <c r="F51" s="41">
        <f>F50+F31</f>
        <v>0</v>
      </c>
      <c r="G51" s="41">
        <f>G50+G31</f>
        <v>3507187.66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70108110</v>
      </c>
      <c r="D56" s="95">
        <f>'DOE25'!G60</f>
        <v>0</v>
      </c>
      <c r="E56" s="95">
        <f>'DOE25'!H60</f>
        <v>52517.14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6246675.1300000008</v>
      </c>
      <c r="D57" s="24" t="s">
        <v>289</v>
      </c>
      <c r="E57" s="95">
        <f>'DOE25'!H79</f>
        <v>3380447.7199999997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139529.10999999999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38870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947859.37000000011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466888.41000000003</v>
      </c>
      <c r="D61" s="95">
        <f>SUM('DOE25'!G98:G110)</f>
        <v>0</v>
      </c>
      <c r="E61" s="95">
        <f>SUM('DOE25'!H98:H110)</f>
        <v>484679.55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6853092.6500000013</v>
      </c>
      <c r="D62" s="130">
        <f>SUM(D57:D61)</f>
        <v>947859.37000000011</v>
      </c>
      <c r="E62" s="130">
        <f>SUM(E57:E61)</f>
        <v>3865127.2699999996</v>
      </c>
      <c r="F62" s="130">
        <f>SUM(F57:F61)</f>
        <v>0</v>
      </c>
      <c r="G62" s="130">
        <f>SUM(G57:G61)</f>
        <v>38870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76961202.650000006</v>
      </c>
      <c r="D63" s="22">
        <f>D56+D62</f>
        <v>947859.37000000011</v>
      </c>
      <c r="E63" s="22">
        <f>E56+E62</f>
        <v>3917644.4099999997</v>
      </c>
      <c r="F63" s="22">
        <f>F56+F62</f>
        <v>0</v>
      </c>
      <c r="G63" s="22">
        <f>G56+G62</f>
        <v>38870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58906278.969999999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19963219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60468.02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78929965.989999995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2740960.8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620568.81000000006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694329.23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82722.070000000007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4055858.84</v>
      </c>
      <c r="D78" s="130">
        <f>SUM(D72:D77)</f>
        <v>82722.070000000007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82985824.829999998</v>
      </c>
      <c r="D81" s="130">
        <f>SUM(D79:D80)+D78+D70</f>
        <v>82722.070000000007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356965.54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1500151.88</v>
      </c>
      <c r="D88" s="95">
        <f>SUM('DOE25'!G153:G161)</f>
        <v>3998318.44</v>
      </c>
      <c r="E88" s="95">
        <f>SUM('DOE25'!H153:H161)</f>
        <v>16082394.9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1500151.88</v>
      </c>
      <c r="D91" s="131">
        <f>SUM(D85:D90)</f>
        <v>4355283.9799999995</v>
      </c>
      <c r="E91" s="131">
        <f>SUM(E85:E90)</f>
        <v>16082394.9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27449.18</v>
      </c>
      <c r="E96" s="95">
        <f>'DOE25'!H179</f>
        <v>0</v>
      </c>
      <c r="F96" s="95">
        <f>'DOE25'!I179</f>
        <v>0</v>
      </c>
      <c r="G96" s="95">
        <f>'DOE25'!J179</f>
        <v>11092</v>
      </c>
    </row>
    <row r="97" spans="1:7" x14ac:dyDescent="0.2">
      <c r="A97" t="s">
        <v>758</v>
      </c>
      <c r="B97" s="32" t="s">
        <v>188</v>
      </c>
      <c r="C97" s="95">
        <f>SUM('DOE25'!F180:F181)</f>
        <v>270737.08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2603852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2874589.08</v>
      </c>
      <c r="D103" s="86">
        <f>SUM(D93:D102)</f>
        <v>27449.18</v>
      </c>
      <c r="E103" s="86">
        <f>SUM(E93:E102)</f>
        <v>0</v>
      </c>
      <c r="F103" s="86">
        <f>SUM(F93:F102)</f>
        <v>0</v>
      </c>
      <c r="G103" s="86">
        <f>SUM(G93:G102)</f>
        <v>11092</v>
      </c>
    </row>
    <row r="104" spans="1:7" ht="12.75" thickTop="1" thickBot="1" x14ac:dyDescent="0.25">
      <c r="A104" s="33" t="s">
        <v>765</v>
      </c>
      <c r="C104" s="86">
        <f>C63+C81+C91+C103</f>
        <v>164321768.44000003</v>
      </c>
      <c r="D104" s="86">
        <f>D63+D81+D91+D103</f>
        <v>5413314.5999999996</v>
      </c>
      <c r="E104" s="86">
        <f>E63+E81+E91+E103</f>
        <v>20000039.309999999</v>
      </c>
      <c r="F104" s="86">
        <f>F63+F81+F91+F103</f>
        <v>0</v>
      </c>
      <c r="G104" s="86">
        <f>G63+G81+G103</f>
        <v>49962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66541662.739999995</v>
      </c>
      <c r="D109" s="24" t="s">
        <v>289</v>
      </c>
      <c r="E109" s="95">
        <f>('DOE25'!L276)+('DOE25'!L295)+('DOE25'!L314)</f>
        <v>1713417.91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34260695.129999995</v>
      </c>
      <c r="D110" s="24" t="s">
        <v>289</v>
      </c>
      <c r="E110" s="95">
        <f>('DOE25'!L277)+('DOE25'!L296)+('DOE25'!L315)</f>
        <v>14322822.359999999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3698247.67</v>
      </c>
      <c r="D111" s="24" t="s">
        <v>289</v>
      </c>
      <c r="E111" s="95">
        <f>('DOE25'!L278)+('DOE25'!L297)+('DOE25'!L316)</f>
        <v>439984.03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2004818.6199999999</v>
      </c>
      <c r="D112" s="24" t="s">
        <v>289</v>
      </c>
      <c r="E112" s="95">
        <f>+('DOE25'!L279)+('DOE25'!L298)+('DOE25'!L317)</f>
        <v>1177722.81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10109.040000000001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55133.05</v>
      </c>
      <c r="D114" s="24" t="s">
        <v>289</v>
      </c>
      <c r="E114" s="95">
        <f>+ SUM('DOE25'!L333:L335)</f>
        <v>600965.9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106560557.20999999</v>
      </c>
      <c r="D115" s="86">
        <f>SUM(D109:D114)</f>
        <v>0</v>
      </c>
      <c r="E115" s="86">
        <f>SUM(E109:E114)</f>
        <v>18265022.049999997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11899848.289999999</v>
      </c>
      <c r="D118" s="24" t="s">
        <v>289</v>
      </c>
      <c r="E118" s="95">
        <f>+('DOE25'!L281)+('DOE25'!L300)+('DOE25'!L319)</f>
        <v>878628.7300000001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2503955.7200000002</v>
      </c>
      <c r="D119" s="24" t="s">
        <v>289</v>
      </c>
      <c r="E119" s="95">
        <f>+('DOE25'!L282)+('DOE25'!L301)+('DOE25'!L320)</f>
        <v>101954.70999999999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1718028.1</v>
      </c>
      <c r="D120" s="24" t="s">
        <v>289</v>
      </c>
      <c r="E120" s="95">
        <f>+('DOE25'!L283)+('DOE25'!L302)+('DOE25'!L321)</f>
        <v>392166.49000000005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9862812.7699999996</v>
      </c>
      <c r="D121" s="24" t="s">
        <v>289</v>
      </c>
      <c r="E121" s="95">
        <f>+('DOE25'!L284)+('DOE25'!L303)+('DOE25'!L322)</f>
        <v>401.18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1367983.54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9168325.0499999989</v>
      </c>
      <c r="D123" s="24" t="s">
        <v>289</v>
      </c>
      <c r="E123" s="95">
        <f>+('DOE25'!L286)+('DOE25'!L305)+('DOE25'!L324)</f>
        <v>35504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5487260.9900000002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2005999.2600000002</v>
      </c>
      <c r="D125" s="24" t="s">
        <v>289</v>
      </c>
      <c r="E125" s="95">
        <f>+('DOE25'!L288)+('DOE25'!L307)+('DOE25'!L326)</f>
        <v>46346.5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5394376.6600000001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44014213.719999999</v>
      </c>
      <c r="D128" s="86">
        <f>SUM(D118:D127)</f>
        <v>5394376.6600000001</v>
      </c>
      <c r="E128" s="86">
        <f>SUM(E118:E127)</f>
        <v>1455001.61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7896841.54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4878831.21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270737.08</v>
      </c>
      <c r="F134" s="95">
        <f>'DOE25'!K381</f>
        <v>0</v>
      </c>
      <c r="G134" s="95">
        <f>'DOE25'!K434</f>
        <v>2603852</v>
      </c>
    </row>
    <row r="135" spans="1:7" x14ac:dyDescent="0.2">
      <c r="A135" t="s">
        <v>233</v>
      </c>
      <c r="B135" s="32" t="s">
        <v>234</v>
      </c>
      <c r="C135" s="95">
        <f>'DOE25'!L263</f>
        <v>27449.18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49962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-38870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256953.28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13071167.209999999</v>
      </c>
      <c r="D144" s="141">
        <f>SUM(D130:D143)</f>
        <v>0</v>
      </c>
      <c r="E144" s="141">
        <f>SUM(E130:E143)</f>
        <v>270737.08</v>
      </c>
      <c r="F144" s="141">
        <f>SUM(F130:F143)</f>
        <v>0</v>
      </c>
      <c r="G144" s="141">
        <f>SUM(G130:G143)</f>
        <v>2603852</v>
      </c>
    </row>
    <row r="145" spans="1:9" ht="12.75" thickTop="1" thickBot="1" x14ac:dyDescent="0.25">
      <c r="A145" s="33" t="s">
        <v>244</v>
      </c>
      <c r="C145" s="86">
        <f>(C115+C128+C144)</f>
        <v>163645938.14000002</v>
      </c>
      <c r="D145" s="86">
        <f>(D115+D128+D144)</f>
        <v>5394376.6600000001</v>
      </c>
      <c r="E145" s="86">
        <f>(E115+E128+E144)</f>
        <v>19990760.739999995</v>
      </c>
      <c r="F145" s="86">
        <f>(F115+F128+F144)</f>
        <v>0</v>
      </c>
      <c r="G145" s="86">
        <f>(G115+G128+G144)</f>
        <v>2603852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Manchester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11034</v>
      </c>
    </row>
    <row r="5" spans="1:4" x14ac:dyDescent="0.2">
      <c r="B5" t="s">
        <v>704</v>
      </c>
      <c r="C5" s="179">
        <f>IF('DOE25'!G665+'DOE25'!G670=0,0,ROUND('DOE25'!G672,0))</f>
        <v>11305</v>
      </c>
    </row>
    <row r="6" spans="1:4" x14ac:dyDescent="0.2">
      <c r="B6" t="s">
        <v>62</v>
      </c>
      <c r="C6" s="179">
        <f>IF('DOE25'!H665+'DOE25'!H670=0,0,ROUND('DOE25'!H672,0))</f>
        <v>12000</v>
      </c>
    </row>
    <row r="7" spans="1:4" x14ac:dyDescent="0.2">
      <c r="B7" t="s">
        <v>705</v>
      </c>
      <c r="C7" s="179">
        <f>IF('DOE25'!I665+'DOE25'!I670=0,0,ROUND('DOE25'!I672,0))</f>
        <v>11389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68255081</v>
      </c>
      <c r="D10" s="182">
        <f>ROUND((C10/$C$28)*100,1)</f>
        <v>37.9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48583517</v>
      </c>
      <c r="D11" s="182">
        <f>ROUND((C11/$C$28)*100,1)</f>
        <v>27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4138232</v>
      </c>
      <c r="D12" s="182">
        <f>ROUND((C12/$C$28)*100,1)</f>
        <v>2.2999999999999998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3182541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12778477</v>
      </c>
      <c r="D15" s="182">
        <f t="shared" ref="D15:D27" si="0">ROUND((C15/$C$28)*100,1)</f>
        <v>7.1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2605910</v>
      </c>
      <c r="D16" s="182">
        <f t="shared" si="0"/>
        <v>1.4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4162540</v>
      </c>
      <c r="D17" s="182">
        <f t="shared" si="0"/>
        <v>2.2999999999999998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9863214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1367984</v>
      </c>
      <c r="D19" s="182">
        <f t="shared" si="0"/>
        <v>0.8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9203829</v>
      </c>
      <c r="D20" s="182">
        <f t="shared" si="0"/>
        <v>5.0999999999999996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5487261</v>
      </c>
      <c r="D21" s="182">
        <f t="shared" si="0"/>
        <v>3.1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10109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656099</v>
      </c>
      <c r="D24" s="182">
        <f t="shared" si="0"/>
        <v>0.4</v>
      </c>
    </row>
    <row r="25" spans="1:4" x14ac:dyDescent="0.2">
      <c r="A25">
        <v>5120</v>
      </c>
      <c r="B25" t="s">
        <v>720</v>
      </c>
      <c r="C25" s="179">
        <f>ROUND('DOE25'!L261+'DOE25'!L342,0)</f>
        <v>4878831</v>
      </c>
      <c r="D25" s="182">
        <f t="shared" si="0"/>
        <v>2.7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256953.28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4446517.63</v>
      </c>
      <c r="D27" s="182">
        <f t="shared" si="0"/>
        <v>2.5</v>
      </c>
    </row>
    <row r="28" spans="1:4" x14ac:dyDescent="0.2">
      <c r="B28" s="187" t="s">
        <v>723</v>
      </c>
      <c r="C28" s="180">
        <f>SUM(C10:C27)</f>
        <v>179877095.91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179877095.91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7896842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70160627</v>
      </c>
      <c r="D35" s="182">
        <f t="shared" ref="D35:D40" si="1">ROUND((C35/$C$41)*100,1)</f>
        <v>37.700000000000003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10757090.059999987</v>
      </c>
      <c r="D36" s="182">
        <f t="shared" si="1"/>
        <v>5.8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78869498</v>
      </c>
      <c r="D37" s="182">
        <f t="shared" si="1"/>
        <v>42.4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4199049</v>
      </c>
      <c r="D38" s="182">
        <f t="shared" si="1"/>
        <v>2.2999999999999998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21937831</v>
      </c>
      <c r="D39" s="182">
        <f t="shared" si="1"/>
        <v>11.8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185924095.06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Manchester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2016-10-13T13:09:16Z</cp:lastPrinted>
  <dcterms:created xsi:type="dcterms:W3CDTF">1997-12-04T19:04:30Z</dcterms:created>
  <dcterms:modified xsi:type="dcterms:W3CDTF">2016-11-30T16:33:49Z</dcterms:modified>
</cp:coreProperties>
</file>