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J96" i="1"/>
  <c r="G611" i="1"/>
  <c r="F611" i="1"/>
  <c r="F579" i="1"/>
  <c r="I526" i="1"/>
  <c r="H526" i="1"/>
  <c r="G526" i="1"/>
  <c r="F526" i="1"/>
  <c r="G521" i="1"/>
  <c r="F521" i="1"/>
  <c r="H521" i="1"/>
  <c r="F502" i="1"/>
  <c r="F501" i="1"/>
  <c r="F497" i="1"/>
  <c r="F367" i="1"/>
  <c r="F368" i="1"/>
  <c r="I358" i="1"/>
  <c r="H358" i="1"/>
  <c r="G358" i="1"/>
  <c r="G282" i="1"/>
  <c r="F282" i="1"/>
  <c r="G279" i="1"/>
  <c r="F279" i="1"/>
  <c r="G277" i="1"/>
  <c r="J276" i="1"/>
  <c r="I276" i="1"/>
  <c r="G276" i="1"/>
  <c r="F276" i="1"/>
  <c r="H244" i="1"/>
  <c r="I205" i="1"/>
  <c r="I203" i="1"/>
  <c r="I202" i="1"/>
  <c r="H209" i="1"/>
  <c r="H208" i="1"/>
  <c r="H204" i="1"/>
  <c r="H202" i="1"/>
  <c r="G204" i="1"/>
  <c r="G203" i="1"/>
  <c r="G202" i="1"/>
  <c r="G200" i="1"/>
  <c r="G198" i="1"/>
  <c r="F204" i="1"/>
  <c r="F203" i="1"/>
  <c r="F202" i="1"/>
  <c r="F200" i="1"/>
  <c r="F198" i="1"/>
  <c r="H159" i="1"/>
  <c r="H155" i="1"/>
  <c r="H154" i="1"/>
  <c r="H150" i="1"/>
  <c r="G97" i="1"/>
  <c r="F110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C17" i="10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E119" i="2" s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21" i="10"/>
  <c r="L250" i="1"/>
  <c r="L332" i="1"/>
  <c r="L254" i="1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20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639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40" i="1"/>
  <c r="G641" i="1"/>
  <c r="H641" i="1"/>
  <c r="G643" i="1"/>
  <c r="H643" i="1"/>
  <c r="G644" i="1"/>
  <c r="H645" i="1"/>
  <c r="H647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26" i="10"/>
  <c r="L328" i="1"/>
  <c r="L351" i="1"/>
  <c r="A31" i="12"/>
  <c r="C70" i="2"/>
  <c r="D12" i="13"/>
  <c r="C12" i="13" s="1"/>
  <c r="D18" i="13"/>
  <c r="C18" i="13" s="1"/>
  <c r="D18" i="2"/>
  <c r="D17" i="13"/>
  <c r="C17" i="13" s="1"/>
  <c r="C91" i="2"/>
  <c r="F78" i="2"/>
  <c r="F81" i="2" s="1"/>
  <c r="D50" i="2"/>
  <c r="F18" i="2"/>
  <c r="G156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I169" i="1"/>
  <c r="H169" i="1"/>
  <c r="J643" i="1"/>
  <c r="H476" i="1"/>
  <c r="H624" i="1" s="1"/>
  <c r="J624" i="1" s="1"/>
  <c r="G476" i="1"/>
  <c r="H623" i="1" s="1"/>
  <c r="J623" i="1" s="1"/>
  <c r="F169" i="1"/>
  <c r="J140" i="1"/>
  <c r="F571" i="1"/>
  <c r="I552" i="1"/>
  <c r="K550" i="1"/>
  <c r="G22" i="2"/>
  <c r="C29" i="10"/>
  <c r="H140" i="1"/>
  <c r="L393" i="1"/>
  <c r="C138" i="2" s="1"/>
  <c r="A13" i="12"/>
  <c r="F22" i="13"/>
  <c r="J651" i="1"/>
  <c r="H571" i="1"/>
  <c r="L560" i="1"/>
  <c r="J545" i="1"/>
  <c r="H338" i="1"/>
  <c r="H352" i="1" s="1"/>
  <c r="G192" i="1"/>
  <c r="F552" i="1"/>
  <c r="L309" i="1"/>
  <c r="L570" i="1"/>
  <c r="I571" i="1"/>
  <c r="G36" i="2"/>
  <c r="L565" i="1"/>
  <c r="K551" i="1"/>
  <c r="C22" i="13"/>
  <c r="G645" i="1" l="1"/>
  <c r="J645" i="1" s="1"/>
  <c r="A40" i="12"/>
  <c r="K598" i="1"/>
  <c r="G647" i="1" s="1"/>
  <c r="J647" i="1" s="1"/>
  <c r="J649" i="1"/>
  <c r="L544" i="1"/>
  <c r="J552" i="1"/>
  <c r="K549" i="1"/>
  <c r="K552" i="1" s="1"/>
  <c r="L534" i="1"/>
  <c r="L529" i="1"/>
  <c r="H545" i="1"/>
  <c r="L524" i="1"/>
  <c r="K503" i="1"/>
  <c r="K500" i="1"/>
  <c r="F476" i="1"/>
  <c r="H622" i="1" s="1"/>
  <c r="J622" i="1" s="1"/>
  <c r="J640" i="1"/>
  <c r="J639" i="1"/>
  <c r="I460" i="1"/>
  <c r="I461" i="1" s="1"/>
  <c r="H642" i="1" s="1"/>
  <c r="I446" i="1"/>
  <c r="G642" i="1" s="1"/>
  <c r="J642" i="1" s="1"/>
  <c r="J644" i="1"/>
  <c r="J634" i="1"/>
  <c r="D29" i="13"/>
  <c r="C29" i="13" s="1"/>
  <c r="G661" i="1"/>
  <c r="L362" i="1"/>
  <c r="C27" i="10" s="1"/>
  <c r="H661" i="1"/>
  <c r="D127" i="2"/>
  <c r="D128" i="2" s="1"/>
  <c r="D145" i="2" s="1"/>
  <c r="E122" i="2"/>
  <c r="E128" i="2"/>
  <c r="E145" i="2" s="1"/>
  <c r="C16" i="10"/>
  <c r="K338" i="1"/>
  <c r="K352" i="1" s="1"/>
  <c r="C13" i="10"/>
  <c r="J338" i="1"/>
  <c r="J352" i="1" s="1"/>
  <c r="L290" i="1"/>
  <c r="L338" i="1" s="1"/>
  <c r="L352" i="1" s="1"/>
  <c r="G633" i="1" s="1"/>
  <c r="J633" i="1" s="1"/>
  <c r="C25" i="13"/>
  <c r="H33" i="13"/>
  <c r="C25" i="10"/>
  <c r="K271" i="1"/>
  <c r="I662" i="1"/>
  <c r="H660" i="1"/>
  <c r="H257" i="1"/>
  <c r="H271" i="1" s="1"/>
  <c r="C109" i="2"/>
  <c r="D7" i="13"/>
  <c r="C7" i="13" s="1"/>
  <c r="E16" i="13"/>
  <c r="C16" i="13" s="1"/>
  <c r="C10" i="10"/>
  <c r="C124" i="2"/>
  <c r="D15" i="13"/>
  <c r="C15" i="13" s="1"/>
  <c r="C123" i="2"/>
  <c r="D14" i="13"/>
  <c r="C14" i="13" s="1"/>
  <c r="C121" i="2"/>
  <c r="E33" i="13"/>
  <c r="D35" i="13" s="1"/>
  <c r="C120" i="2"/>
  <c r="C119" i="2"/>
  <c r="C118" i="2"/>
  <c r="L211" i="1"/>
  <c r="C15" i="10"/>
  <c r="D5" i="13"/>
  <c r="C5" i="13" s="1"/>
  <c r="C110" i="2"/>
  <c r="C81" i="2"/>
  <c r="F112" i="1"/>
  <c r="C36" i="10" s="1"/>
  <c r="C62" i="2"/>
  <c r="C63" i="2" s="1"/>
  <c r="C56" i="2"/>
  <c r="H52" i="1"/>
  <c r="H619" i="1" s="1"/>
  <c r="D31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I663" i="1"/>
  <c r="G635" i="1"/>
  <c r="J635" i="1" s="1"/>
  <c r="G104" i="2" l="1"/>
  <c r="L545" i="1"/>
  <c r="I661" i="1"/>
  <c r="G664" i="1"/>
  <c r="H664" i="1"/>
  <c r="H667" i="1" s="1"/>
  <c r="D31" i="13"/>
  <c r="C31" i="13" s="1"/>
  <c r="F660" i="1"/>
  <c r="F664" i="1" s="1"/>
  <c r="F672" i="1" s="1"/>
  <c r="C4" i="10" s="1"/>
  <c r="C115" i="2"/>
  <c r="C128" i="2"/>
  <c r="L257" i="1"/>
  <c r="L271" i="1" s="1"/>
  <c r="G632" i="1" s="1"/>
  <c r="J632" i="1" s="1"/>
  <c r="C28" i="10"/>
  <c r="D24" i="10" s="1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G667" i="1"/>
  <c r="D33" i="13"/>
  <c r="D36" i="13" s="1"/>
  <c r="F667" i="1"/>
  <c r="I660" i="1"/>
  <c r="I664" i="1" s="1"/>
  <c r="I672" i="1" s="1"/>
  <c r="C7" i="10" s="1"/>
  <c r="C145" i="2"/>
  <c r="D23" i="10"/>
  <c r="D27" i="10"/>
  <c r="D15" i="10"/>
  <c r="D10" i="10"/>
  <c r="C30" i="10"/>
  <c r="D18" i="10"/>
  <c r="D25" i="10"/>
  <c r="D26" i="10"/>
  <c r="D12" i="10"/>
  <c r="D20" i="10"/>
  <c r="D17" i="10"/>
  <c r="D16" i="10"/>
  <c r="D19" i="10"/>
  <c r="D13" i="10"/>
  <c r="D11" i="10"/>
  <c r="D21" i="10"/>
  <c r="D2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<sst xmlns="http://schemas.openxmlformats.org/spreadsheetml/2006/main" count="3957" uniqueCount="915">
  <si>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</si>
  <si>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</si>
  <si>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</si>
  <si>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</si>
  <si>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</si>
  <si>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</si>
  <si>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</si>
  <si>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</si>
  <si>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</si>
  <si>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</si>
  <si>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</si>
  <si>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</si>
  <si>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</si>
  <si>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</si>
  <si>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</si>
  <si>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</si>
  <si>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</si>
  <si>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</si>
  <si>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</si>
  <si>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</si>
  <si>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</si>
  <si>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</si>
  <si>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</si>
  <si>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</si>
  <si>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</si>
  <si>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</si>
  <si>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</si>
  <si>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</si>
  <si>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</si>
  <si>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</si>
  <si>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</si>
  <si>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</si>
  <si>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</si>
  <si>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</si>
  <si>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</si>
  <si>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</si>
  <si>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</si>
  <si>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</si>
  <si>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</si>
  <si>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</si>
  <si>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</si>
  <si>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</si>
  <si>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</si>
  <si>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</si>
  <si>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</si>
  <si>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</si>
  <si>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</si>
  <si>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</si>
  <si>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</si>
  <si>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</si>
  <si>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</si>
  <si>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</si>
  <si>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</si>
  <si>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</si>
  <si>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</si>
  <si>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</si>
  <si>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</si>
  <si>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</si>
  <si>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</si>
  <si>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</si>
  <si>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</si>
  <si>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</si>
  <si>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</si>
  <si>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</si>
  <si>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</si>
  <si>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</si>
  <si>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</si>
  <si>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</si>
  <si>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</si>
  <si>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</si>
  <si>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</si>
  <si>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</si>
  <si>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</si>
  <si>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</si>
  <si>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</si>
  <si>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</si>
  <si>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</si>
  <si>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</si>
  <si>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</si>
  <si>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</si>
  <si>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</si>
  <si>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</si>
  <si>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</si>
  <si>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</si>
  <si>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</si>
  <si>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</si>
  <si>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</si>
  <si>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</si>
  <si>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</si>
  <si>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</si>
  <si>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</si>
  <si>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</si>
  <si>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</si>
  <si>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</si>
  <si>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</si>
  <si>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</si>
  <si>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</si>
  <si>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</si>
  <si>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</si>
  <si>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</si>
  <si>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</si>
  <si>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</si>
  <si>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</si>
  <si>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</si>
  <si>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</si>
  <si>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</si>
  <si>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</si>
  <si>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</si>
  <si>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</si>
  <si>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</si>
  <si>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</si>
  <si>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</si>
  <si>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</si>
  <si>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</si>
  <si>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</si>
  <si>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</si>
  <si>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</si>
  <si>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</si>
  <si>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</si>
  <si>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</si>
  <si>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</si>
  <si>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</si>
  <si>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</si>
  <si>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</si>
  <si>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</si>
  <si>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</si>
  <si>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</si>
  <si>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</si>
  <si>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</si>
  <si>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</si>
  <si>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</si>
  <si>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</si>
  <si>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</si>
  <si>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</si>
  <si>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</si>
  <si>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</si>
  <si>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</si>
  <si>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</si>
  <si>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</si>
  <si>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</si>
  <si>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</si>
  <si>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</si>
  <si>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</si>
  <si>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</si>
  <si>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</si>
  <si>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</si>
  <si>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</si>
  <si>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</si>
  <si>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</si>
  <si>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</si>
  <si>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</si>
  <si>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</si>
  <si>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</si>
  <si>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</si>
  <si>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</si>
  <si>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</si>
  <si>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</si>
  <si>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</si>
  <si>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</si>
  <si>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</si>
  <si>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</si>
  <si>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</si>
  <si>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</si>
  <si>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</si>
  <si>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</si>
  <si>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</si>
  <si>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</si>
  <si>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</si>
  <si>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</si>
  <si>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</si>
  <si>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</si>
  <si>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</si>
  <si>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</si>
  <si>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</si>
  <si>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</si>
  <si>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</si>
  <si>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</si>
  <si>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</si>
  <si>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</si>
  <si>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</si>
  <si>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</si>
  <si>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</si>
  <si>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</si>
  <si>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</si>
  <si>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</si>
  <si>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</si>
  <si>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</si>
  <si>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</si>
  <si>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</si>
  <si>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</si>
  <si>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</si>
  <si>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</si>
  <si>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</si>
  <si>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</si>
  <si>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</si>
  <si>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</si>
  <si>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</si>
  <si>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</si>
  <si>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</si>
  <si>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</si>
  <si>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</si>
  <si>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</si>
  <si>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</si>
  <si>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</si>
  <si>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</si>
  <si>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</si>
  <si>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</si>
  <si>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</si>
  <si>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</si>
  <si>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</si>
  <si>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</si>
  <si>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</si>
  <si>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</si>
  <si>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</si>
  <si>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</si>
  <si>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</si>
  <si>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</si>
  <si>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</si>
  <si>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</si>
  <si>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</si>
  <si>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</si>
  <si>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</si>
  <si>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</si>
  <si>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</si>
  <si>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</si>
  <si>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</si>
  <si>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</si>
  <si>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</si>
  <si>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</si>
  <si>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</si>
  <si>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</si>
  <si>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</si>
  <si>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</si>
  <si>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</si>
  <si>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</si>
  <si>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</si>
  <si>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</si>
  <si>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</si>
  <si>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</si>
  <si>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</si>
  <si>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</si>
  <si>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</si>
  <si>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</si>
  <si>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</si>
  <si>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</si>
  <si>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</si>
  <si>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</si>
  <si>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</si>
  <si>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</si>
  <si>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</si>
  <si>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</si>
  <si>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</si>
  <si>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</si>
  <si>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</si>
  <si>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</si>
  <si>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</si>
  <si>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</si>
  <si>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</si>
  <si>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</si>
  <si>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</si>
  <si>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</si>
  <si>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</si>
  <si>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</si>
  <si>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</si>
  <si>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</si>
  <si>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</si>
  <si>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</si>
  <si>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</si>
  <si>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</si>
  <si>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</si>
  <si>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</si>
  <si>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</si>
  <si>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</si>
  <si>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</si>
  <si>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</si>
  <si>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</si>
  <si>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</si>
  <si>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</si>
  <si>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</si>
  <si>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</si>
  <si>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</si>
  <si>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</si>
  <si>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</si>
  <si>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</si>
  <si>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</si>
  <si>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</si>
  <si>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</si>
  <si>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</si>
  <si>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</si>
  <si>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</si>
  <si>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</si>
  <si>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</si>
  <si>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</si>
  <si>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</si>
  <si>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</si>
  <si>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</si>
  <si>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</si>
  <si>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</si>
  <si>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</si>
  <si>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</si>
  <si>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</si>
  <si>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</si>
  <si>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</si>
  <si>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</si>
  <si>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</si>
  <si>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</si>
  <si>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</si>
  <si>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</si>
  <si>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</si>
  <si>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</si>
  <si>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</si>
  <si>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</si>
  <si>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</si>
  <si>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</si>
  <si>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</si>
  <si>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</si>
  <si>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</si>
  <si>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</si>
  <si>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</si>
  <si>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</si>
  <si>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</si>
  <si>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</si>
  <si>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</si>
  <si>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</si>
  <si>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</si>
  <si>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</si>
  <si>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</si>
  <si>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</si>
  <si>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</si>
  <si>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</si>
  <si>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</si>
  <si>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</si>
  <si>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</si>
  <si>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</si>
  <si>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</si>
  <si>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</si>
  <si>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</si>
  <si>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</si>
  <si>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</si>
  <si>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</si>
  <si>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</si>
  <si>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</si>
  <si>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</si>
  <si>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</si>
  <si>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</si>
  <si>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</si>
  <si>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</si>
  <si>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</si>
  <si>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</si>
  <si>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</si>
  <si>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</si>
  <si>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</si>
  <si>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</si>
  <si>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</si>
  <si>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</si>
  <si>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</si>
  <si>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</si>
  <si>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</si>
  <si>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</si>
  <si>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</si>
  <si>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</si>
  <si>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</si>
  <si>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</si>
  <si>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</si>
  <si>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</si>
  <si>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</si>
  <si>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</si>
  <si>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</si>
  <si>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</si>
  <si>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</si>
  <si>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</si>
  <si>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</si>
  <si>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</si>
  <si>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</si>
  <si>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</si>
  <si>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</si>
  <si>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</si>
  <si>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</si>
  <si>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</si>
  <si>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</si>
  <si>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</si>
  <si>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</si>
  <si>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</si>
  <si>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</si>
  <si>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</si>
  <si>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</si>
  <si>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</si>
  <si>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</si>
  <si>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</si>
  <si>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</si>
  <si>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</si>
  <si>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</si>
  <si>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</si>
  <si>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</si>
  <si>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</si>
  <si>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</si>
  <si>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</si>
  <si>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</si>
  <si>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</si>
  <si>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</si>
  <si>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</si>
  <si>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</si>
  <si>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</si>
  <si>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</si>
  <si>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</si>
  <si>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</si>
  <si>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</si>
  <si>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</si>
  <si>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</si>
  <si>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</si>
  <si>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</si>
  <si>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</si>
  <si>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</si>
  <si>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</si>
  <si>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</si>
  <si>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</si>
  <si>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</si>
  <si>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</si>
  <si>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</si>
  <si>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</si>
  <si>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</si>
  <si>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</si>
  <si>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</si>
  <si>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</si>
  <si>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</si>
  <si>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</si>
  <si>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</si>
  <si>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</si>
  <si>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</si>
  <si>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</si>
  <si>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</si>
  <si>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</si>
  <si>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</si>
  <si>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</si>
  <si>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</si>
  <si>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</si>
  <si>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</si>
  <si>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</si>
  <si>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</si>
  <si>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</si>
  <si>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</si>
  <si>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</si>
  <si>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</si>
  <si>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</si>
  <si>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</si>
  <si>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</si>
  <si>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</si>
  <si>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</si>
  <si>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</si>
  <si>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</si>
  <si>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</si>
  <si>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</si>
  <si>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</si>
  <si>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</si>
  <si>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</si>
  <si>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</si>
  <si>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</si>
  <si>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</si>
  <si>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</si>
  <si>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</si>
  <si>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</si>
  <si>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</si>
  <si>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</si>
  <si>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</si>
  <si>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</si>
  <si>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</si>
  <si>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</si>
  <si>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</si>
  <si>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</si>
  <si>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</si>
  <si>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</si>
  <si>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</si>
  <si>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</si>
  <si>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</si>
  <si>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</si>
  <si>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</si>
  <si>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</si>
  <si>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</si>
  <si>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</si>
  <si>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</si>
  <si>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</si>
  <si>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</si>
  <si>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</si>
  <si>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</si>
  <si>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</si>
  <si>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</si>
  <si>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</si>
  <si>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</si>
  <si>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</si>
  <si>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</si>
  <si>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</si>
  <si>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</si>
  <si>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</si>
  <si>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</si>
  <si>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</si>
  <si>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</si>
  <si>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</si>
  <si>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</si>
  <si>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</si>
  <si>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</si>
  <si>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</si>
  <si>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</si>
  <si>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</si>
  <si>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</si>
  <si>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</si>
  <si>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</si>
  <si>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</si>
  <si>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</si>
  <si>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</si>
  <si>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</si>
  <si>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</si>
  <si>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</si>
  <si>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</si>
  <si>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</si>
  <si>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</si>
  <si>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</si>
  <si>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</si>
  <si>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</si>
  <si>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</si>
  <si>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</si>
  <si>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</si>
  <si>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</si>
  <si>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</si>
  <si>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</si>
  <si>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</si>
  <si>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</si>
  <si>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</si>
  <si>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</si>
  <si>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</si>
  <si>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</si>
  <si>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</si>
  <si>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</si>
  <si>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</si>
  <si>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</si>
  <si>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</si>
  <si>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</si>
  <si>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</si>
  <si>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</si>
  <si>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</si>
  <si>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</si>
  <si>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</si>
  <si>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</si>
  <si>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</si>
  <si>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</si>
  <si>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</si>
  <si>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</si>
  <si>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</si>
  <si>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</si>
  <si>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</si>
  <si>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</si>
  <si>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</si>
  <si>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</si>
  <si>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</si>
  <si>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</si>
  <si>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</si>
  <si>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</si>
  <si>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</si>
  <si>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</si>
  <si>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</si>
  <si>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</si>
  <si>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</si>
  <si>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</si>
  <si>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</si>
  <si>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</si>
  <si>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</si>
  <si>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</si>
  <si>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</si>
  <si>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</si>
  <si>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</si>
  <si>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</si>
  <si>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</si>
  <si>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</si>
  <si>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</si>
  <si>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</si>
  <si>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</si>
  <si>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</si>
  <si>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</si>
  <si>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</si>
  <si>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</si>
  <si>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</si>
  <si>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</si>
  <si>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</si>
  <si>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</si>
  <si>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</si>
  <si>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</si>
  <si>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</si>
  <si>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</si>
  <si>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</si>
  <si>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</si>
  <si>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</si>
  <si>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</si>
  <si>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</si>
  <si>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</si>
  <si>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</si>
  <si>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</si>
  <si>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</si>
  <si>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</si>
  <si>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</si>
  <si>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</si>
  <si>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</si>
  <si>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</si>
  <si>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</si>
  <si>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</si>
  <si>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</si>
  <si>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</si>
  <si>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</si>
  <si>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</si>
  <si>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</si>
  <si>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</si>
  <si>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</si>
  <si>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</si>
  <si>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</si>
  <si>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</si>
  <si>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</si>
  <si>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</si>
  <si>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</si>
  <si>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</si>
  <si>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</si>
  <si>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</si>
  <si>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</si>
  <si>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</si>
  <si>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</si>
  <si>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</si>
  <si>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</si>
  <si>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</si>
  <si>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</si>
  <si>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</si>
  <si>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</si>
  <si>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</si>
  <si>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</si>
  <si>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</si>
  <si>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</si>
  <si>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</si>
  <si>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</si>
  <si>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</si>
  <si>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</si>
  <si>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</si>
  <si>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</si>
  <si>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</si>
  <si>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</si>
  <si>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</si>
  <si>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</si>
  <si>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</si>
  <si>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</si>
  <si>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</si>
  <si>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</si>
  <si>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</si>
  <si>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</si>
  <si>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</si>
  <si>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</si>
  <si>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</si>
  <si>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</si>
  <si>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</si>
  <si>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</si>
  <si>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</si>
  <si>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</si>
  <si>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</si>
  <si>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</si>
  <si>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</si>
  <si>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</si>
  <si>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</si>
  <si>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</si>
  <si>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</si>
  <si>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</si>
  <si>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</si>
  <si>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</si>
  <si>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</si>
  <si>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</si>
  <si>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</si>
  <si>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</si>
  <si>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</si>
  <si>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</si>
  <si>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</si>
  <si>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</si>
  <si>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</si>
  <si>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</si>
  <si>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</si>
  <si>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</si>
  <si>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</si>
  <si>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</si>
  <si>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</si>
  <si>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</si>
  <si>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</si>
  <si>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</si>
  <si>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</si>
  <si>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</si>
  <si>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</si>
  <si>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</si>
  <si>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</si>
  <si>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</si>
  <si>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</si>
  <si>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</si>
  <si>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</si>
  <si>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</si>
  <si>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</si>
  <si>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</si>
  <si>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</si>
  <si>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</si>
  <si>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</si>
  <si>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</si>
  <si>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</si>
  <si>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</si>
  <si>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</si>
  <si>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</si>
  <si>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</si>
  <si>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</si>
  <si>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</si>
  <si>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</si>
  <si>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</si>
  <si>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</si>
  <si>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</si>
  <si>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</si>
  <si>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</si>
  <si>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</si>
  <si>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</si>
  <si>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</si>
  <si>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</si>
  <si>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</si>
  <si>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</si>
  <si>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</si>
  <si>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</si>
  <si>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</si>
  <si>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</si>
  <si>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</si>
  <si>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</si>
  <si>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</si>
  <si>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</si>
  <si>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</si>
  <si>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</si>
  <si>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</si>
  <si>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</si>
  <si>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</si>
  <si>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</si>
  <si>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</si>
  <si>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</si>
  <si>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</si>
  <si>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</si>
  <si>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</si>
  <si>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</si>
  <si>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</si>
  <si>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</si>
  <si>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</si>
  <si>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</si>
  <si>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</si>
  <si>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</si>
  <si>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</si>
  <si>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</si>
  <si>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</si>
  <si>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</si>
  <si>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</si>
  <si>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</si>
  <si>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</si>
  <si>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</si>
  <si>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</si>
  <si>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</si>
  <si>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</si>
  <si>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</si>
  <si>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</si>
  <si>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</si>
  <si>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</si>
  <si>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</si>
  <si>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</si>
  <si>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</si>
  <si>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</si>
  <si>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</si>
  <si>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</si>
  <si>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</si>
  <si>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</si>
  <si>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</si>
  <si>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</si>
  <si>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</si>
  <si>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</si>
  <si>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</si>
  <si>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</si>
  <si>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</si>
  <si>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</si>
  <si>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</si>
  <si>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</si>
  <si>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</si>
  <si>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</si>
  <si>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</si>
  <si>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</si>
  <si>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</si>
  <si>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</si>
  <si>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</si>
  <si>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</si>
  <si>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</si>
  <si>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</si>
  <si>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</si>
  <si>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</si>
  <si>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</si>
  <si>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</si>
  <si>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</si>
  <si>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</si>
  <si>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</si>
  <si>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</si>
  <si>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</si>
  <si>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</si>
  <si>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</si>
  <si>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</si>
  <si>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</si>
  <si>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</si>
  <si>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</si>
  <si>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</si>
  <si>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</si>
  <si>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</si>
  <si>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</si>
  <si>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</si>
  <si>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</si>
  <si>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</si>
  <si>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</si>
  <si>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</si>
  <si>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</si>
  <si>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</si>
  <si>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</si>
  <si>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</si>
  <si>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</si>
  <si>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</si>
  <si>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</si>
  <si>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</si>
  <si>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</si>
  <si>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</si>
  <si>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</si>
  <si>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</si>
  <si>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</si>
  <si>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</si>
  <si>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</si>
  <si>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</si>
  <si>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</si>
  <si>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</si>
  <si>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</si>
  <si>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</si>
  <si>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</si>
  <si>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</si>
  <si>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</si>
  <si>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</si>
  <si>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</si>
  <si>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</si>
  <si>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</si>
  <si>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</si>
  <si>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</si>
  <si>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</si>
  <si>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</si>
  <si>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</si>
  <si>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</si>
  <si>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</si>
  <si>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</si>
  <si>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</si>
  <si>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</si>
  <si>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</si>
  <si>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</si>
  <si>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</si>
  <si>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</si>
  <si>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</si>
  <si>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</si>
  <si>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</si>
  <si>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</si>
  <si>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</si>
  <si>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</si>
  <si>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</si>
  <si>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</si>
  <si>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</si>
  <si>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</si>
  <si>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</si>
  <si>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</si>
  <si>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</si>
  <si>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</si>
  <si>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</si>
  <si>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</si>
  <si>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</si>
  <si>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</si>
  <si>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</si>
  <si>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</si>
  <si>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</si>
  <si>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</si>
  <si>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</si>
  <si>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</si>
  <si>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</si>
  <si>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</si>
  <si>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</si>
  <si>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</si>
  <si>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</si>
  <si>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</si>
  <si>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</si>
  <si>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</si>
  <si>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</si>
  <si>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</si>
  <si>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</si>
  <si>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</si>
  <si>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</si>
  <si>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</si>
  <si>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</si>
  <si>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</si>
  <si>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</si>
  <si>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</si>
  <si>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</si>
  <si>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</si>
  <si>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</si>
  <si>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</si>
  <si>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</si>
  <si>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</si>
  <si>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</si>
  <si>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</si>
  <si>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</si>
  <si>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</si>
  <si>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</si>
  <si>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</si>
  <si>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</si>
  <si>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</si>
  <si>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</si>
  <si>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</si>
  <si>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</si>
  <si>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MARLBOROUGH SCHOOL DISTRICT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</si>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</sst>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583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339</v>
      </c>
      <c r="C2" s="21">
        <v>339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258294.72+100-57216.28</f>
        <v>201178.44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10919.06</v>
      </c>
      <c r="G10" s="18"/>
      <c r="H10" s="18"/>
      <c r="I10" s="18"/>
      <c r="J10" s="67">
        <f>SUM(I440)</f>
        <v>559712.88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167.9+41538.74</f>
        <v>41706.639999999999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11749.61</v>
      </c>
      <c r="G13" s="18">
        <v>3173.97</v>
      </c>
      <c r="H13" s="18">
        <v>42440.68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207</v>
      </c>
      <c r="G14" s="18">
        <v>563.6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2975.78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268736.53000000003</v>
      </c>
      <c r="G19" s="41">
        <f>SUM(G9:G18)</f>
        <v>3737.5699999999997</v>
      </c>
      <c r="H19" s="41">
        <f>SUM(H9:H18)</f>
        <v>42440.68</v>
      </c>
      <c r="I19" s="41">
        <f>SUM(I9:I18)</f>
        <v>0</v>
      </c>
      <c r="J19" s="41">
        <f>SUM(J9:J18)</f>
        <v>559712.88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167.9</v>
      </c>
      <c r="H22" s="18">
        <v>41538.74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20802.29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7812.81</v>
      </c>
      <c r="G24" s="18">
        <v>1542.6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7699.31</v>
      </c>
      <c r="G28" s="18">
        <v>294.36</v>
      </c>
      <c r="H28" s="18">
        <v>901.94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1732.71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36314.410000000003</v>
      </c>
      <c r="G32" s="41">
        <f>SUM(G22:G31)</f>
        <v>3737.57</v>
      </c>
      <c r="H32" s="41">
        <f>SUM(H22:H31)</f>
        <v>42440.68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2975.78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559712.88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229346.34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232422.12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559712.88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268736.53000000003</v>
      </c>
      <c r="G52" s="41">
        <f>G51+G32</f>
        <v>3737.57</v>
      </c>
      <c r="H52" s="41">
        <f>H51+H32</f>
        <v>42440.68</v>
      </c>
      <c r="I52" s="41">
        <f>I51+I32</f>
        <v>0</v>
      </c>
      <c r="J52" s="41">
        <f>J51+J32</f>
        <v>559712.88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3096769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3096769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250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250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537.70000000000005</v>
      </c>
      <c r="G96" s="18"/>
      <c r="H96" s="18"/>
      <c r="I96" s="18"/>
      <c r="J96" s="18">
        <f>303.67+130.4</f>
        <v>434.07000000000005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24826.76+3806.6+3131.65+1687.55</f>
        <v>33452.559999999998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7820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34224.639999999999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4981.21+1916.46</f>
        <v>6897.67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49480.009999999995</v>
      </c>
      <c r="G111" s="41">
        <f>SUM(G96:G110)</f>
        <v>33452.559999999998</v>
      </c>
      <c r="H111" s="41">
        <f>SUM(H96:H110)</f>
        <v>0</v>
      </c>
      <c r="I111" s="41">
        <f>SUM(I96:I110)</f>
        <v>0</v>
      </c>
      <c r="J111" s="41">
        <f>SUM(J96:J110)</f>
        <v>434.07000000000005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3146499.01</v>
      </c>
      <c r="G112" s="41">
        <f>G60+G111</f>
        <v>33452.559999999998</v>
      </c>
      <c r="H112" s="41">
        <f>H60+H79+H94+H111</f>
        <v>0</v>
      </c>
      <c r="I112" s="41">
        <f>I60+I111</f>
        <v>0</v>
      </c>
      <c r="J112" s="41">
        <f>J60+J111</f>
        <v>434.07000000000005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1285027.45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394001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1679028.45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281464.05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1114.44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281464.05</v>
      </c>
      <c r="G136" s="41">
        <f>SUM(G123:G135)</f>
        <v>1114.44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1960492.5</v>
      </c>
      <c r="G140" s="41">
        <f>G121+SUM(G136:G137)</f>
        <v>1114.44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330+10212+865.09</f>
        <v>11407.09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402.26+59406.67</f>
        <v>59808.93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761.87+689.14+3482.36+13416.12</f>
        <v>18349.490000000002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62600.6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271.77+39698.77</f>
        <v>39970.539999999994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16339.26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16339.26</v>
      </c>
      <c r="G162" s="41">
        <f>SUM(G150:G161)</f>
        <v>62600.6</v>
      </c>
      <c r="H162" s="41">
        <f>SUM(H150:H161)</f>
        <v>129536.05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16339.26</v>
      </c>
      <c r="G169" s="41">
        <f>G147+G162+SUM(G163:G168)</f>
        <v>62600.6</v>
      </c>
      <c r="H169" s="41">
        <f>H147+H162+SUM(H163:H168)</f>
        <v>129536.05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24833.54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24833.54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24833.54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5123330.7699999996</v>
      </c>
      <c r="G193" s="47">
        <f>G112+G140+G169+G192</f>
        <v>122001.14000000001</v>
      </c>
      <c r="H193" s="47">
        <f>H112+H140+H169+H192</f>
        <v>129536.05</v>
      </c>
      <c r="I193" s="47">
        <f>I112+I140+I169+I192</f>
        <v>0</v>
      </c>
      <c r="J193" s="47">
        <f>J112+J140+J192</f>
        <v>434.07000000000005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935723.95</v>
      </c>
      <c r="G197" s="18">
        <v>358231.93</v>
      </c>
      <c r="H197" s="18">
        <v>3536.55</v>
      </c>
      <c r="I197" s="18">
        <v>44937.279999999999</v>
      </c>
      <c r="J197" s="18">
        <v>11306.8</v>
      </c>
      <c r="K197" s="18">
        <v>467.05</v>
      </c>
      <c r="L197" s="19">
        <f>SUM(F197:K197)</f>
        <v>1354203.56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226507.45+9996.61</f>
        <v>236504.06</v>
      </c>
      <c r="G198" s="18">
        <f>71704.92+820.77</f>
        <v>72525.69</v>
      </c>
      <c r="H198" s="18">
        <v>80120.990000000005</v>
      </c>
      <c r="I198" s="18"/>
      <c r="J198" s="18">
        <v>1395.5</v>
      </c>
      <c r="K198" s="18"/>
      <c r="L198" s="19">
        <f>SUM(F198:K198)</f>
        <v>390546.24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8449.99+1947.5</f>
        <v>10397.49</v>
      </c>
      <c r="G200" s="18">
        <f>1191.28+196.51</f>
        <v>1387.79</v>
      </c>
      <c r="H200" s="18">
        <v>27552.7</v>
      </c>
      <c r="I200" s="18">
        <v>1402.43</v>
      </c>
      <c r="J200" s="18">
        <v>899.13</v>
      </c>
      <c r="K200" s="18">
        <v>9834.1200000000008</v>
      </c>
      <c r="L200" s="19">
        <f>SUM(F200:K200)</f>
        <v>51473.659999999996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40690.26+46383.53+32999.98</f>
        <v>120073.77000000002</v>
      </c>
      <c r="G202" s="18">
        <f>3340.48+3808.03+2709.2</f>
        <v>9857.7099999999991</v>
      </c>
      <c r="H202" s="18">
        <f>3400.72+62650.63+20771.95</f>
        <v>86823.299999999988</v>
      </c>
      <c r="I202" s="18">
        <f>950.25+120.89+110</f>
        <v>1181.1400000000001</v>
      </c>
      <c r="J202" s="18"/>
      <c r="K202" s="18">
        <v>169</v>
      </c>
      <c r="L202" s="19">
        <f t="shared" ref="L202:L208" si="0">SUM(F202:K202)</f>
        <v>218104.92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7778.9+47253.96</f>
        <v>55032.86</v>
      </c>
      <c r="G203" s="18">
        <f>1753.82+8087.2+29601.3</f>
        <v>39442.32</v>
      </c>
      <c r="H203" s="18">
        <v>3742.96</v>
      </c>
      <c r="I203" s="18">
        <f>0.4+9051.27</f>
        <v>9051.67</v>
      </c>
      <c r="J203" s="18">
        <v>1336.61</v>
      </c>
      <c r="K203" s="18">
        <v>670</v>
      </c>
      <c r="L203" s="19">
        <f t="shared" si="0"/>
        <v>109276.42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6682.75+2400</f>
        <v>9082.75</v>
      </c>
      <c r="G204" s="18">
        <f>543.08+197.04+1000</f>
        <v>1740.12</v>
      </c>
      <c r="H204" s="18">
        <f>100.25+200+9750+6453.5+200+176536.99</f>
        <v>193240.74</v>
      </c>
      <c r="I204" s="18">
        <v>2183.94</v>
      </c>
      <c r="J204" s="18"/>
      <c r="K204" s="18"/>
      <c r="L204" s="19">
        <f t="shared" si="0"/>
        <v>206247.55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153804.13</v>
      </c>
      <c r="G205" s="18">
        <v>43686.45</v>
      </c>
      <c r="H205" s="18">
        <v>4153.82</v>
      </c>
      <c r="I205" s="18">
        <f>3609.59+723.26</f>
        <v>4332.8500000000004</v>
      </c>
      <c r="J205" s="18"/>
      <c r="K205" s="18"/>
      <c r="L205" s="19">
        <f t="shared" si="0"/>
        <v>205977.25000000003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107085.65</v>
      </c>
      <c r="G207" s="18">
        <v>51489.09</v>
      </c>
      <c r="H207" s="18">
        <v>35657.46</v>
      </c>
      <c r="I207" s="18">
        <v>95172.34</v>
      </c>
      <c r="J207" s="18">
        <v>5237.8100000000004</v>
      </c>
      <c r="K207" s="18"/>
      <c r="L207" s="19">
        <f t="shared" si="0"/>
        <v>294642.34999999998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98856.99+9373+8804.35+1910</f>
        <v>118944.34000000001</v>
      </c>
      <c r="I208" s="18"/>
      <c r="J208" s="18"/>
      <c r="K208" s="18"/>
      <c r="L208" s="19">
        <f t="shared" si="0"/>
        <v>118944.34000000001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780.74</v>
      </c>
      <c r="H209" s="18">
        <f>662.68+9918.77</f>
        <v>10581.45</v>
      </c>
      <c r="I209" s="18">
        <v>922.98</v>
      </c>
      <c r="J209" s="18">
        <v>10608</v>
      </c>
      <c r="K209" s="18"/>
      <c r="L209" s="19">
        <f>SUM(F209:K209)</f>
        <v>22893.17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1627704.6600000001</v>
      </c>
      <c r="G211" s="41">
        <f t="shared" si="1"/>
        <v>579141.84</v>
      </c>
      <c r="H211" s="41">
        <f t="shared" si="1"/>
        <v>564354.30999999994</v>
      </c>
      <c r="I211" s="41">
        <f t="shared" si="1"/>
        <v>159184.63</v>
      </c>
      <c r="J211" s="41">
        <f t="shared" si="1"/>
        <v>30783.85</v>
      </c>
      <c r="K211" s="41">
        <f t="shared" si="1"/>
        <v>11140.17</v>
      </c>
      <c r="L211" s="41">
        <f t="shared" si="1"/>
        <v>2972309.4599999995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963210.75</v>
      </c>
      <c r="I233" s="18"/>
      <c r="J233" s="18"/>
      <c r="K233" s="18"/>
      <c r="L233" s="19">
        <f>SUM(F233:K233)</f>
        <v>963210.75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319175.19</v>
      </c>
      <c r="I234" s="18"/>
      <c r="J234" s="18"/>
      <c r="K234" s="18"/>
      <c r="L234" s="19">
        <f>SUM(F234:K234)</f>
        <v>319175.19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28744.36+25195</f>
        <v>53939.360000000001</v>
      </c>
      <c r="I244" s="18"/>
      <c r="J244" s="18"/>
      <c r="K244" s="18"/>
      <c r="L244" s="19">
        <f t="shared" si="4"/>
        <v>53939.360000000001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1336325.3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1336325.3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>
        <v>7820</v>
      </c>
      <c r="L253" s="19">
        <f t="shared" si="6"/>
        <v>7820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7820</v>
      </c>
      <c r="L256" s="41">
        <f>SUM(F256:K256)</f>
        <v>7820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1627704.6600000001</v>
      </c>
      <c r="G257" s="41">
        <f t="shared" si="8"/>
        <v>579141.84</v>
      </c>
      <c r="H257" s="41">
        <f t="shared" si="8"/>
        <v>1900679.6099999999</v>
      </c>
      <c r="I257" s="41">
        <f t="shared" si="8"/>
        <v>159184.63</v>
      </c>
      <c r="J257" s="41">
        <f t="shared" si="8"/>
        <v>30783.85</v>
      </c>
      <c r="K257" s="41">
        <f t="shared" si="8"/>
        <v>18960.169999999998</v>
      </c>
      <c r="L257" s="41">
        <f t="shared" si="8"/>
        <v>4316454.76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592374.81999999995</v>
      </c>
      <c r="L260" s="19">
        <f>SUM(F260:K260)</f>
        <v>592374.81999999995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226212.68</v>
      </c>
      <c r="L261" s="19">
        <f>SUM(F261:K261)</f>
        <v>226212.68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24833.54</v>
      </c>
      <c r="L263" s="19">
        <f>SUM(F263:K263)</f>
        <v>24833.54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843421.04</v>
      </c>
      <c r="L270" s="41">
        <f t="shared" si="9"/>
        <v>843421.04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1627704.6600000001</v>
      </c>
      <c r="G271" s="42">
        <f t="shared" si="11"/>
        <v>579141.84</v>
      </c>
      <c r="H271" s="42">
        <f t="shared" si="11"/>
        <v>1900679.6099999999</v>
      </c>
      <c r="I271" s="42">
        <f t="shared" si="11"/>
        <v>159184.63</v>
      </c>
      <c r="J271" s="42">
        <f t="shared" si="11"/>
        <v>30783.85</v>
      </c>
      <c r="K271" s="42">
        <f t="shared" si="11"/>
        <v>862381.21000000008</v>
      </c>
      <c r="L271" s="42">
        <f t="shared" si="11"/>
        <v>5159875.8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2831.41+5153.41+30590</f>
        <v>38574.82</v>
      </c>
      <c r="G276" s="18">
        <f>17601.6+800+32.94+9.91+18.04+110.53+216.6+394.24+2289.09+2272+16.99+30.92+171.86</f>
        <v>23964.719999999998</v>
      </c>
      <c r="H276" s="18"/>
      <c r="I276" s="18">
        <f>0.04+133.87+865.09</f>
        <v>999</v>
      </c>
      <c r="J276" s="18">
        <f>330+761.83+10078.13</f>
        <v>11169.96</v>
      </c>
      <c r="K276" s="18"/>
      <c r="L276" s="19">
        <f>SUM(F276:K276)</f>
        <v>74708.5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30876.55</v>
      </c>
      <c r="G277" s="18">
        <f>81.26+2362+171.86</f>
        <v>2615.1200000000003</v>
      </c>
      <c r="H277" s="18"/>
      <c r="I277" s="18"/>
      <c r="J277" s="18"/>
      <c r="K277" s="18"/>
      <c r="L277" s="19">
        <f>SUM(F277:K277)</f>
        <v>33491.67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675+3634.58</f>
        <v>4309.58</v>
      </c>
      <c r="G279" s="18">
        <f>329.68+105.77+24.13</f>
        <v>459.58</v>
      </c>
      <c r="H279" s="18"/>
      <c r="I279" s="18"/>
      <c r="J279" s="18"/>
      <c r="K279" s="18"/>
      <c r="L279" s="19">
        <f>SUM(F279:K279)</f>
        <v>4769.16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87.77</v>
      </c>
      <c r="J281" s="18"/>
      <c r="K281" s="18">
        <v>153.02000000000001</v>
      </c>
      <c r="L281" s="19">
        <f t="shared" ref="L281:L287" si="12">SUM(F281:K281)</f>
        <v>240.79000000000002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540+270+6480</f>
        <v>7290</v>
      </c>
      <c r="G282" s="18">
        <f>41.31+20.66+495.72+2.86+1.42+36.28</f>
        <v>598.25</v>
      </c>
      <c r="H282" s="18">
        <v>599.75</v>
      </c>
      <c r="I282" s="18">
        <v>-0.4</v>
      </c>
      <c r="J282" s="18"/>
      <c r="K282" s="18"/>
      <c r="L282" s="19">
        <f t="shared" si="12"/>
        <v>8487.6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3263</v>
      </c>
      <c r="I283" s="18"/>
      <c r="J283" s="18"/>
      <c r="K283" s="18"/>
      <c r="L283" s="19">
        <f t="shared" si="12"/>
        <v>3263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4575.33</v>
      </c>
      <c r="L285" s="19">
        <f t="shared" si="12"/>
        <v>4575.33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81050.95</v>
      </c>
      <c r="G290" s="42">
        <f t="shared" si="13"/>
        <v>27637.67</v>
      </c>
      <c r="H290" s="42">
        <f t="shared" si="13"/>
        <v>3862.75</v>
      </c>
      <c r="I290" s="42">
        <f t="shared" si="13"/>
        <v>1086.3699999999999</v>
      </c>
      <c r="J290" s="42">
        <f t="shared" si="13"/>
        <v>11169.96</v>
      </c>
      <c r="K290" s="42">
        <f t="shared" si="13"/>
        <v>4728.3500000000004</v>
      </c>
      <c r="L290" s="41">
        <f t="shared" si="13"/>
        <v>129536.05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81050.95</v>
      </c>
      <c r="G338" s="41">
        <f t="shared" si="20"/>
        <v>27637.67</v>
      </c>
      <c r="H338" s="41">
        <f t="shared" si="20"/>
        <v>3862.75</v>
      </c>
      <c r="I338" s="41">
        <f t="shared" si="20"/>
        <v>1086.3699999999999</v>
      </c>
      <c r="J338" s="41">
        <f t="shared" si="20"/>
        <v>11169.96</v>
      </c>
      <c r="K338" s="41">
        <f t="shared" si="20"/>
        <v>4728.3500000000004</v>
      </c>
      <c r="L338" s="41">
        <f t="shared" si="20"/>
        <v>129536.05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81050.95</v>
      </c>
      <c r="G352" s="41">
        <f>G338</f>
        <v>27637.67</v>
      </c>
      <c r="H352" s="41">
        <f>H338</f>
        <v>3862.75</v>
      </c>
      <c r="I352" s="41">
        <f>I338</f>
        <v>1086.3699999999999</v>
      </c>
      <c r="J352" s="41">
        <f>J338</f>
        <v>11169.96</v>
      </c>
      <c r="K352" s="47">
        <f>K338+K351</f>
        <v>4728.3500000000004</v>
      </c>
      <c r="L352" s="41">
        <f>L338+L351</f>
        <v>129536.05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42910.29</v>
      </c>
      <c r="G358" s="18">
        <f>14081.28+640+38.45+84.79+3137.65+2706.25+1461</f>
        <v>22149.420000000002</v>
      </c>
      <c r="H358" s="18">
        <f>5500+164.95</f>
        <v>5664.95</v>
      </c>
      <c r="I358" s="18">
        <f>1732.08+47193.05+483.75+325</f>
        <v>49733.880000000005</v>
      </c>
      <c r="J358" s="18">
        <v>1542.6</v>
      </c>
      <c r="K358" s="18"/>
      <c r="L358" s="13">
        <f>SUM(F358:K358)</f>
        <v>122001.14000000001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42910.29</v>
      </c>
      <c r="G362" s="47">
        <f t="shared" si="22"/>
        <v>22149.420000000002</v>
      </c>
      <c r="H362" s="47">
        <f t="shared" si="22"/>
        <v>5664.95</v>
      </c>
      <c r="I362" s="47">
        <f t="shared" si="22"/>
        <v>49733.880000000005</v>
      </c>
      <c r="J362" s="47">
        <f t="shared" si="22"/>
        <v>1542.6</v>
      </c>
      <c r="K362" s="47">
        <f t="shared" si="22"/>
        <v>0</v>
      </c>
      <c r="L362" s="47">
        <f t="shared" si="22"/>
        <v>122001.14000000001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47193.05+483.75</f>
        <v>47676.800000000003</v>
      </c>
      <c r="G367" s="18"/>
      <c r="H367" s="18"/>
      <c r="I367" s="56">
        <f>SUM(F367:H367)</f>
        <v>47676.800000000003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1732.08+325</f>
        <v>2057.08</v>
      </c>
      <c r="G368" s="63"/>
      <c r="H368" s="63"/>
      <c r="I368" s="56">
        <f>SUM(F368:H368)</f>
        <v>2057.08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49733.880000000005</v>
      </c>
      <c r="G369" s="47">
        <f>SUM(G367:G368)</f>
        <v>0</v>
      </c>
      <c r="H369" s="47">
        <f>SUM(H367:H368)</f>
        <v>0</v>
      </c>
      <c r="I369" s="47">
        <f>SUM(I367:I368)</f>
        <v>49733.880000000005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303.67</v>
      </c>
      <c r="I389" s="18"/>
      <c r="J389" s="24" t="s">
        <v>289</v>
      </c>
      <c r="K389" s="24" t="s">
        <v>289</v>
      </c>
      <c r="L389" s="56">
        <f t="shared" si="25"/>
        <v>303.67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303.67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303.67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130.4</v>
      </c>
      <c r="I398" s="18"/>
      <c r="J398" s="24" t="s">
        <v>289</v>
      </c>
      <c r="K398" s="24" t="s">
        <v>289</v>
      </c>
      <c r="L398" s="56">
        <f t="shared" si="26"/>
        <v>130.4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130.4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130.4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434.07000000000005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434.07000000000005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336348.94</v>
      </c>
      <c r="G440" s="18">
        <v>223363.94</v>
      </c>
      <c r="H440" s="18"/>
      <c r="I440" s="56">
        <f t="shared" si="33"/>
        <v>559712.88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336348.94</v>
      </c>
      <c r="G446" s="13">
        <f>SUM(G439:G445)</f>
        <v>223363.94</v>
      </c>
      <c r="H446" s="13">
        <f>SUM(H439:H445)</f>
        <v>0</v>
      </c>
      <c r="I446" s="13">
        <f>SUM(I439:I445)</f>
        <v>559712.88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336348.94</v>
      </c>
      <c r="G459" s="18">
        <v>223363.94</v>
      </c>
      <c r="H459" s="18"/>
      <c r="I459" s="56">
        <f t="shared" si="34"/>
        <v>559712.88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336348.94</v>
      </c>
      <c r="G460" s="83">
        <f>SUM(G454:G459)</f>
        <v>223363.94</v>
      </c>
      <c r="H460" s="83">
        <f>SUM(H454:H459)</f>
        <v>0</v>
      </c>
      <c r="I460" s="83">
        <f>SUM(I454:I459)</f>
        <v>559712.88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336348.94</v>
      </c>
      <c r="G461" s="42">
        <f>G452+G460</f>
        <v>223363.94</v>
      </c>
      <c r="H461" s="42">
        <f>H452+H460</f>
        <v>0</v>
      </c>
      <c r="I461" s="42">
        <f>I452+I460</f>
        <v>559712.88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268967.15000000002</v>
      </c>
      <c r="G465" s="18">
        <v>0</v>
      </c>
      <c r="H465" s="18">
        <v>0</v>
      </c>
      <c r="I465" s="18">
        <v>0</v>
      </c>
      <c r="J465" s="18">
        <v>559278.81000000006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5123330.7699999996</v>
      </c>
      <c r="G468" s="18">
        <v>122001.14000000001</v>
      </c>
      <c r="H468" s="18">
        <v>129536.05</v>
      </c>
      <c r="I468" s="18">
        <v>0</v>
      </c>
      <c r="J468" s="18">
        <v>434.07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5123330.7699999996</v>
      </c>
      <c r="G470" s="53">
        <f>SUM(G468:G469)</f>
        <v>122001.14000000001</v>
      </c>
      <c r="H470" s="53">
        <f>SUM(H468:H469)</f>
        <v>129536.05</v>
      </c>
      <c r="I470" s="53">
        <f>SUM(I468:I469)</f>
        <v>0</v>
      </c>
      <c r="J470" s="53">
        <f>SUM(J468:J469)</f>
        <v>434.07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5159875.8</v>
      </c>
      <c r="G472" s="18">
        <v>122001.14000000001</v>
      </c>
      <c r="H472" s="18">
        <v>129536.05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5159875.8</v>
      </c>
      <c r="G474" s="53">
        <f>SUM(G472:G473)</f>
        <v>122001.14000000001</v>
      </c>
      <c r="H474" s="53">
        <f>SUM(H472:H473)</f>
        <v>129536.05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232422.12000000011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559712.88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10960000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6304165.7199999997</v>
      </c>
      <c r="G495" s="18"/>
      <c r="H495" s="18"/>
      <c r="I495" s="18"/>
      <c r="J495" s="18"/>
      <c r="K495" s="53">
        <f>SUM(F495:J495)</f>
        <v>6304165.7199999997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461872.8+130502.02</f>
        <v>592374.81999999995</v>
      </c>
      <c r="G497" s="18"/>
      <c r="H497" s="18"/>
      <c r="I497" s="18"/>
      <c r="J497" s="18"/>
      <c r="K497" s="53">
        <f t="shared" si="35"/>
        <v>592374.81999999995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5711790.9000000004</v>
      </c>
      <c r="G498" s="204"/>
      <c r="H498" s="204"/>
      <c r="I498" s="204"/>
      <c r="J498" s="204"/>
      <c r="K498" s="205">
        <f t="shared" si="35"/>
        <v>5711790.9000000004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4925452.82</v>
      </c>
      <c r="G499" s="18"/>
      <c r="H499" s="18"/>
      <c r="I499" s="18"/>
      <c r="J499" s="18"/>
      <c r="K499" s="53">
        <f t="shared" si="35"/>
        <v>4925452.82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10637243.720000001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10637243.720000001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450908.6+116461.66</f>
        <v>567370.26</v>
      </c>
      <c r="G501" s="204"/>
      <c r="H501" s="204"/>
      <c r="I501" s="204"/>
      <c r="J501" s="204"/>
      <c r="K501" s="205">
        <f t="shared" si="35"/>
        <v>567370.26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197610.15+54850.84</f>
        <v>252460.99</v>
      </c>
      <c r="G502" s="18"/>
      <c r="H502" s="18"/>
      <c r="I502" s="18"/>
      <c r="J502" s="18"/>
      <c r="K502" s="53">
        <f t="shared" si="35"/>
        <v>252460.99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819831.25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819831.25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136248+999.51+89259.94+30876.55</f>
        <v>257384</v>
      </c>
      <c r="G521" s="18">
        <f>30640+1303+95+803.75+16626.05+20974.2+1262.92+81.26+2362+171.86</f>
        <v>74320.039999999994</v>
      </c>
      <c r="H521" s="18">
        <f>6161.89+46729.5+27229.6</f>
        <v>80120.989999999991</v>
      </c>
      <c r="I521" s="18"/>
      <c r="J521" s="18">
        <v>1395.5</v>
      </c>
      <c r="K521" s="18"/>
      <c r="L521" s="88">
        <f>SUM(F521:K521)</f>
        <v>413220.52999999997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319175.19</v>
      </c>
      <c r="I523" s="18"/>
      <c r="J523" s="18"/>
      <c r="K523" s="18"/>
      <c r="L523" s="88">
        <f>SUM(F523:K523)</f>
        <v>319175.19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257384</v>
      </c>
      <c r="G524" s="108">
        <f t="shared" ref="G524:L524" si="36">SUM(G521:G523)</f>
        <v>74320.039999999994</v>
      </c>
      <c r="H524" s="108">
        <f t="shared" si="36"/>
        <v>399296.18</v>
      </c>
      <c r="I524" s="108">
        <f t="shared" si="36"/>
        <v>0</v>
      </c>
      <c r="J524" s="108">
        <f t="shared" si="36"/>
        <v>1395.5</v>
      </c>
      <c r="K524" s="108">
        <f t="shared" si="36"/>
        <v>0</v>
      </c>
      <c r="L524" s="89">
        <f t="shared" si="36"/>
        <v>732395.72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32999.98</f>
        <v>32999.980000000003</v>
      </c>
      <c r="G526" s="18">
        <f>2524.34+184.86</f>
        <v>2709.2000000000003</v>
      </c>
      <c r="H526" s="18">
        <f>600.72+62650.63+19745.57+1026.38</f>
        <v>84023.3</v>
      </c>
      <c r="I526" s="18">
        <f>120.89+110</f>
        <v>230.89</v>
      </c>
      <c r="J526" s="18"/>
      <c r="K526" s="18"/>
      <c r="L526" s="88">
        <f>SUM(F526:K526)</f>
        <v>119963.37000000001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32999.980000000003</v>
      </c>
      <c r="G529" s="89">
        <f t="shared" ref="G529:L529" si="37">SUM(G526:G528)</f>
        <v>2709.2000000000003</v>
      </c>
      <c r="H529" s="89">
        <f t="shared" si="37"/>
        <v>84023.3</v>
      </c>
      <c r="I529" s="89">
        <f t="shared" si="37"/>
        <v>230.89</v>
      </c>
      <c r="J529" s="89">
        <f t="shared" si="37"/>
        <v>0</v>
      </c>
      <c r="K529" s="89">
        <f t="shared" si="37"/>
        <v>0</v>
      </c>
      <c r="L529" s="89">
        <f t="shared" si="37"/>
        <v>119963.37000000001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17773</v>
      </c>
      <c r="I531" s="18"/>
      <c r="J531" s="18"/>
      <c r="K531" s="18">
        <v>1709.71</v>
      </c>
      <c r="L531" s="88">
        <f>SUM(F531:K531)</f>
        <v>19482.71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17773</v>
      </c>
      <c r="I534" s="89">
        <f t="shared" si="38"/>
        <v>0</v>
      </c>
      <c r="J534" s="89">
        <f t="shared" si="38"/>
        <v>0</v>
      </c>
      <c r="K534" s="89">
        <f t="shared" si="38"/>
        <v>1709.71</v>
      </c>
      <c r="L534" s="89">
        <f t="shared" si="38"/>
        <v>19482.71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9373</v>
      </c>
      <c r="I541" s="18"/>
      <c r="J541" s="18"/>
      <c r="K541" s="18"/>
      <c r="L541" s="88">
        <f>SUM(F541:K541)</f>
        <v>9373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25195</v>
      </c>
      <c r="I543" s="18"/>
      <c r="J543" s="18"/>
      <c r="K543" s="18"/>
      <c r="L543" s="88">
        <f>SUM(F543:K543)</f>
        <v>25195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34568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34568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290383.98</v>
      </c>
      <c r="G545" s="89">
        <f t="shared" ref="G545:L545" si="41">G524+G529+G534+G539+G544</f>
        <v>77029.239999999991</v>
      </c>
      <c r="H545" s="89">
        <f t="shared" si="41"/>
        <v>535660.48</v>
      </c>
      <c r="I545" s="89">
        <f t="shared" si="41"/>
        <v>230.89</v>
      </c>
      <c r="J545" s="89">
        <f t="shared" si="41"/>
        <v>1395.5</v>
      </c>
      <c r="K545" s="89">
        <f t="shared" si="41"/>
        <v>1709.71</v>
      </c>
      <c r="L545" s="89">
        <f t="shared" si="41"/>
        <v>906409.79999999993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413220.52999999997</v>
      </c>
      <c r="G549" s="87">
        <f>L526</f>
        <v>119963.37000000001</v>
      </c>
      <c r="H549" s="87">
        <f>L531</f>
        <v>19482.71</v>
      </c>
      <c r="I549" s="87">
        <f>L536</f>
        <v>0</v>
      </c>
      <c r="J549" s="87">
        <f>L541</f>
        <v>9373</v>
      </c>
      <c r="K549" s="87">
        <f>SUM(F549:J549)</f>
        <v>562039.61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319175.19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25195</v>
      </c>
      <c r="K551" s="87">
        <f>SUM(F551:J551)</f>
        <v>344370.19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732395.72</v>
      </c>
      <c r="G552" s="89">
        <f t="shared" si="42"/>
        <v>119963.37000000001</v>
      </c>
      <c r="H552" s="89">
        <f t="shared" si="42"/>
        <v>19482.71</v>
      </c>
      <c r="I552" s="89">
        <f t="shared" si="42"/>
        <v>0</v>
      </c>
      <c r="J552" s="89">
        <f t="shared" si="42"/>
        <v>34568</v>
      </c>
      <c r="K552" s="89">
        <f t="shared" si="42"/>
        <v>906409.8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963210.75</v>
      </c>
      <c r="I575" s="87">
        <f>SUM(F575:H575)</f>
        <v>963210.75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6161.89+27229.6</f>
        <v>33391.49</v>
      </c>
      <c r="G579" s="18"/>
      <c r="H579" s="18">
        <v>246347.88</v>
      </c>
      <c r="I579" s="87">
        <f t="shared" si="47"/>
        <v>279739.37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46729.5</v>
      </c>
      <c r="G582" s="18"/>
      <c r="H582" s="18">
        <v>72827.31</v>
      </c>
      <c r="I582" s="87">
        <f t="shared" si="47"/>
        <v>119556.81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98856.99</v>
      </c>
      <c r="I591" s="18"/>
      <c r="J591" s="18">
        <v>28744.36</v>
      </c>
      <c r="K591" s="104">
        <f t="shared" ref="K591:K597" si="48">SUM(H591:J591)</f>
        <v>127601.35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9373</v>
      </c>
      <c r="I592" s="18"/>
      <c r="J592" s="18">
        <v>25195</v>
      </c>
      <c r="K592" s="104">
        <f t="shared" si="48"/>
        <v>34568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8804.35</v>
      </c>
      <c r="I594" s="18"/>
      <c r="J594" s="18"/>
      <c r="K594" s="104">
        <f t="shared" si="48"/>
        <v>8804.35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1910</v>
      </c>
      <c r="I595" s="18"/>
      <c r="J595" s="18"/>
      <c r="K595" s="104">
        <f t="shared" si="48"/>
        <v>1910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118944.34000000001</v>
      </c>
      <c r="I598" s="108">
        <f>SUM(I591:I597)</f>
        <v>0</v>
      </c>
      <c r="J598" s="108">
        <f>SUM(J591:J597)</f>
        <v>53939.360000000001</v>
      </c>
      <c r="K598" s="108">
        <f>SUM(K591:K597)</f>
        <v>172883.7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41953.81</v>
      </c>
      <c r="I604" s="18"/>
      <c r="J604" s="18"/>
      <c r="K604" s="104">
        <f>SUM(H604:J604)</f>
        <v>41953.81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41953.81</v>
      </c>
      <c r="I605" s="108">
        <f>SUM(I602:I604)</f>
        <v>0</v>
      </c>
      <c r="J605" s="108">
        <f>SUM(J602:J604)</f>
        <v>0</v>
      </c>
      <c r="K605" s="108">
        <f>SUM(K602:K604)</f>
        <v>41953.81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1947.5+675+3634.58</f>
        <v>6257.08</v>
      </c>
      <c r="G611" s="18">
        <f>148.95+41.13+6.43+329.68+105.77+24.13</f>
        <v>656.09</v>
      </c>
      <c r="H611" s="18"/>
      <c r="I611" s="18"/>
      <c r="J611" s="18"/>
      <c r="K611" s="18"/>
      <c r="L611" s="88">
        <f>SUM(F611:K611)</f>
        <v>6913.17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6257.08</v>
      </c>
      <c r="G614" s="108">
        <f t="shared" si="49"/>
        <v>656.09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6913.17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268736.53000000003</v>
      </c>
      <c r="H617" s="109">
        <f>SUM(F52)</f>
        <v>268736.53000000003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3737.5699999999997</v>
      </c>
      <c r="H618" s="109">
        <f>SUM(G52)</f>
        <v>3737.57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42440.68</v>
      </c>
      <c r="H619" s="109">
        <f>SUM(H52)</f>
        <v>42440.68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559712.88</v>
      </c>
      <c r="H621" s="109">
        <f>SUM(J52)</f>
        <v>559712.88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232422.12</v>
      </c>
      <c r="H622" s="109">
        <f>F476</f>
        <v>232422.12000000011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559712.88</v>
      </c>
      <c r="H626" s="109">
        <f>J476</f>
        <v>559712.88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5123330.7699999996</v>
      </c>
      <c r="H627" s="104">
        <f>SUM(F468)</f>
        <v>5123330.7699999996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122001.14000000001</v>
      </c>
      <c r="H628" s="104">
        <f>SUM(G468)</f>
        <v>122001.14000000001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129536.05</v>
      </c>
      <c r="H629" s="104">
        <f>SUM(H468)</f>
        <v>129536.05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434.07000000000005</v>
      </c>
      <c r="H631" s="104">
        <f>SUM(J468)</f>
        <v>434.07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5159875.8</v>
      </c>
      <c r="H632" s="104">
        <f>SUM(F472)</f>
        <v>5159875.8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129536.05</v>
      </c>
      <c r="H633" s="104">
        <f>SUM(H472)</f>
        <v>129536.05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49733.880000000005</v>
      </c>
      <c r="H634" s="104">
        <f>I369</f>
        <v>49733.880000000005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122001.14000000001</v>
      </c>
      <c r="H635" s="104">
        <f>SUM(G472)</f>
        <v>122001.14000000001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434.07000000000005</v>
      </c>
      <c r="H637" s="164">
        <f>SUM(J468)</f>
        <v>434.07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336348.94</v>
      </c>
      <c r="H639" s="104">
        <f>SUM(F461)</f>
        <v>336348.94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223363.94</v>
      </c>
      <c r="H640" s="104">
        <f>SUM(G461)</f>
        <v>223363.94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559712.88</v>
      </c>
      <c r="H642" s="104">
        <f>SUM(I461)</f>
        <v>559712.88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434.07000000000005</v>
      </c>
      <c r="H644" s="104">
        <f>H408</f>
        <v>434.07000000000005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434.07000000000005</v>
      </c>
      <c r="H646" s="104">
        <f>L408</f>
        <v>434.07000000000005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172883.7</v>
      </c>
      <c r="H647" s="104">
        <f>L208+L226+L244</f>
        <v>172883.7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41953.81</v>
      </c>
      <c r="H648" s="104">
        <f>(J257+J338)-(J255+J336)</f>
        <v>41953.81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118944.34000000001</v>
      </c>
      <c r="H649" s="104">
        <f>H598</f>
        <v>118944.34000000001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53939.360000000001</v>
      </c>
      <c r="H651" s="104">
        <f>J598</f>
        <v>53939.360000000001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24833.54</v>
      </c>
      <c r="H652" s="104">
        <f>K263+K345</f>
        <v>24833.54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3223846.6499999994</v>
      </c>
      <c r="G660" s="19">
        <f>(L229+L309+L359)</f>
        <v>0</v>
      </c>
      <c r="H660" s="19">
        <f>(L247+L328+L360)</f>
        <v>1336325.3</v>
      </c>
      <c r="I660" s="19">
        <f>SUM(F660:H660)</f>
        <v>4560171.9499999993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33452.559999999998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33452.559999999998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118944.34000000001</v>
      </c>
      <c r="G662" s="19">
        <f>(L226+L306)-(J226+J306)</f>
        <v>0</v>
      </c>
      <c r="H662" s="19">
        <f>(L244+L325)-(J244+J325)</f>
        <v>53939.360000000001</v>
      </c>
      <c r="I662" s="19">
        <f>SUM(F662:H662)</f>
        <v>172883.7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128987.96999999999</v>
      </c>
      <c r="G663" s="199">
        <f>SUM(G575:G587)+SUM(I602:I604)+L612</f>
        <v>0</v>
      </c>
      <c r="H663" s="199">
        <f>SUM(H575:H587)+SUM(J602:J604)+L613</f>
        <v>1282385.94</v>
      </c>
      <c r="I663" s="19">
        <f>SUM(F663:H663)</f>
        <v>1411373.91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2942461.7799999993</v>
      </c>
      <c r="G664" s="19">
        <f>G660-SUM(G661:G663)</f>
        <v>0</v>
      </c>
      <c r="H664" s="19">
        <f>H660-SUM(H661:H663)</f>
        <v>0</v>
      </c>
      <c r="I664" s="19">
        <f>I660-SUM(I661:I663)</f>
        <v>2942461.7799999993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189.83</v>
      </c>
      <c r="G665" s="248"/>
      <c r="H665" s="248"/>
      <c r="I665" s="19">
        <f>SUM(F665:H665)</f>
        <v>189.83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15500.51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15500.51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15500.51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15500.51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MARLBOROUGH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974298.7699999999</v>
      </c>
      <c r="C9" s="229">
        <f>'DOE25'!G197+'DOE25'!G215+'DOE25'!G233+'DOE25'!G276+'DOE25'!G295+'DOE25'!G314</f>
        <v>382196.64999999997</v>
      </c>
    </row>
    <row r="10" spans="1:3" x14ac:dyDescent="0.2">
      <c r="A10" t="s">
        <v>779</v>
      </c>
      <c r="B10" s="240">
        <v>934740.5</v>
      </c>
      <c r="C10" s="240">
        <v>366678.71</v>
      </c>
    </row>
    <row r="11" spans="1:3" x14ac:dyDescent="0.2">
      <c r="A11" t="s">
        <v>780</v>
      </c>
      <c r="B11" s="240">
        <v>39558.269999999997</v>
      </c>
      <c r="C11" s="240">
        <v>15517.94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974298.77</v>
      </c>
      <c r="C13" s="231">
        <f>SUM(C10:C12)</f>
        <v>382196.65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267380.61</v>
      </c>
      <c r="C18" s="229">
        <f>'DOE25'!G198+'DOE25'!G216+'DOE25'!G234+'DOE25'!G277+'DOE25'!G296+'DOE25'!G315</f>
        <v>75140.81</v>
      </c>
    </row>
    <row r="19" spans="1:3" x14ac:dyDescent="0.2">
      <c r="A19" t="s">
        <v>779</v>
      </c>
      <c r="B19" s="240">
        <v>146244.60999999999</v>
      </c>
      <c r="C19" s="240">
        <v>41098.49</v>
      </c>
    </row>
    <row r="20" spans="1:3" x14ac:dyDescent="0.2">
      <c r="A20" t="s">
        <v>780</v>
      </c>
      <c r="B20" s="240">
        <v>121136</v>
      </c>
      <c r="C20" s="240">
        <v>34042.32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267380.61</v>
      </c>
      <c r="C22" s="231">
        <f>SUM(C19:C21)</f>
        <v>75140.81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14707.07</v>
      </c>
      <c r="C36" s="235">
        <f>'DOE25'!G200+'DOE25'!G218+'DOE25'!G236+'DOE25'!G279+'DOE25'!G298+'DOE25'!G317</f>
        <v>1847.37</v>
      </c>
    </row>
    <row r="37" spans="1:3" x14ac:dyDescent="0.2">
      <c r="A37" t="s">
        <v>779</v>
      </c>
      <c r="B37" s="240">
        <v>11072.49</v>
      </c>
      <c r="C37" s="240">
        <v>1390.83</v>
      </c>
    </row>
    <row r="38" spans="1:3" x14ac:dyDescent="0.2">
      <c r="A38" t="s">
        <v>780</v>
      </c>
      <c r="B38" s="240">
        <v>3634.58</v>
      </c>
      <c r="C38" s="240">
        <v>456.54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14707.07</v>
      </c>
      <c r="C40" s="231">
        <f>SUM(C37:C39)</f>
        <v>1847.37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MARLBOROUGH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3078609.4</v>
      </c>
      <c r="D5" s="20">
        <f>SUM('DOE25'!L197:L200)+SUM('DOE25'!L215:L218)+SUM('DOE25'!L233:L236)-F5-G5</f>
        <v>3054706.8</v>
      </c>
      <c r="E5" s="243"/>
      <c r="F5" s="255">
        <f>SUM('DOE25'!J197:J200)+SUM('DOE25'!J215:J218)+SUM('DOE25'!J233:J236)</f>
        <v>13601.429999999998</v>
      </c>
      <c r="G5" s="53">
        <f>SUM('DOE25'!K197:K200)+SUM('DOE25'!K215:K218)+SUM('DOE25'!K233:K236)</f>
        <v>10301.17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218104.92</v>
      </c>
      <c r="D6" s="20">
        <f>'DOE25'!L202+'DOE25'!L220+'DOE25'!L238-F6-G6</f>
        <v>217935.92</v>
      </c>
      <c r="E6" s="243"/>
      <c r="F6" s="255">
        <f>'DOE25'!J202+'DOE25'!J220+'DOE25'!J238</f>
        <v>0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109276.42</v>
      </c>
      <c r="D7" s="20">
        <f>'DOE25'!L203+'DOE25'!L221+'DOE25'!L239-F7-G7</f>
        <v>107269.81</v>
      </c>
      <c r="E7" s="243"/>
      <c r="F7" s="255">
        <f>'DOE25'!J203+'DOE25'!J221+'DOE25'!J239</f>
        <v>1336.61</v>
      </c>
      <c r="G7" s="53">
        <f>'DOE25'!K203+'DOE25'!K221+'DOE25'!K239</f>
        <v>670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161866.99</v>
      </c>
      <c r="D8" s="243"/>
      <c r="E8" s="20">
        <f>'DOE25'!L204+'DOE25'!L222+'DOE25'!L240-F8-G8-D9-D11</f>
        <v>161866.99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18960.560000000001</v>
      </c>
      <c r="D9" s="244">
        <f>28710.56-9750</f>
        <v>18960.560000000001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25420</v>
      </c>
      <c r="D11" s="244">
        <v>25420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205977.25000000003</v>
      </c>
      <c r="D12" s="20">
        <f>'DOE25'!L205+'DOE25'!L223+'DOE25'!L241-F12-G12</f>
        <v>205977.25000000003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294642.34999999998</v>
      </c>
      <c r="D14" s="20">
        <f>'DOE25'!L207+'DOE25'!L225+'DOE25'!L243-F14-G14</f>
        <v>289404.53999999998</v>
      </c>
      <c r="E14" s="243"/>
      <c r="F14" s="255">
        <f>'DOE25'!J207+'DOE25'!J225+'DOE25'!J243</f>
        <v>5237.8100000000004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172883.7</v>
      </c>
      <c r="D15" s="20">
        <f>'DOE25'!L208+'DOE25'!L226+'DOE25'!L244-F15-G15</f>
        <v>172883.7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22893.17</v>
      </c>
      <c r="D16" s="243"/>
      <c r="E16" s="20">
        <f>'DOE25'!L209+'DOE25'!L227+'DOE25'!L245-F16-G16</f>
        <v>12285.169999999998</v>
      </c>
      <c r="F16" s="255">
        <f>'DOE25'!J209+'DOE25'!J227+'DOE25'!J245</f>
        <v>10608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7820</v>
      </c>
      <c r="D19" s="20">
        <f>'DOE25'!L253-F19-G19</f>
        <v>0</v>
      </c>
      <c r="E19" s="243"/>
      <c r="F19" s="255">
        <f>'DOE25'!J253</f>
        <v>0</v>
      </c>
      <c r="G19" s="53">
        <f>'DOE25'!K253</f>
        <v>7820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818587.5</v>
      </c>
      <c r="D25" s="243"/>
      <c r="E25" s="243"/>
      <c r="F25" s="258"/>
      <c r="G25" s="256"/>
      <c r="H25" s="257">
        <f>'DOE25'!L260+'DOE25'!L261+'DOE25'!L341+'DOE25'!L342</f>
        <v>818587.5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74324.340000000011</v>
      </c>
      <c r="D29" s="20">
        <f>'DOE25'!L358+'DOE25'!L359+'DOE25'!L360-'DOE25'!I367-F29-G29</f>
        <v>72781.740000000005</v>
      </c>
      <c r="E29" s="243"/>
      <c r="F29" s="255">
        <f>'DOE25'!J358+'DOE25'!J359+'DOE25'!J360</f>
        <v>1542.6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129536.04999999999</v>
      </c>
      <c r="D31" s="20">
        <f>'DOE25'!L290+'DOE25'!L309+'DOE25'!L328+'DOE25'!L333+'DOE25'!L334+'DOE25'!L335-F31-G31</f>
        <v>113637.73999999999</v>
      </c>
      <c r="E31" s="243"/>
      <c r="F31" s="255">
        <f>'DOE25'!J290+'DOE25'!J309+'DOE25'!J328+'DOE25'!J333+'DOE25'!J334+'DOE25'!J335</f>
        <v>11169.96</v>
      </c>
      <c r="G31" s="53">
        <f>'DOE25'!K290+'DOE25'!K309+'DOE25'!K328+'DOE25'!K333+'DOE25'!K334+'DOE25'!K335</f>
        <v>4728.3500000000004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4278978.0600000005</v>
      </c>
      <c r="E33" s="246">
        <f>SUM(E5:E31)</f>
        <v>183902.15999999997</v>
      </c>
      <c r="F33" s="246">
        <f>SUM(F5:F31)</f>
        <v>43496.409999999996</v>
      </c>
      <c r="G33" s="246">
        <f>SUM(G5:G31)</f>
        <v>23688.519999999997</v>
      </c>
      <c r="H33" s="246">
        <f>SUM(H5:H31)</f>
        <v>818587.5</v>
      </c>
    </row>
    <row r="35" spans="2:8" ht="12" thickBot="1" x14ac:dyDescent="0.25">
      <c r="B35" s="253" t="s">
        <v>847</v>
      </c>
      <c r="D35" s="254">
        <f>E33</f>
        <v>183902.15999999997</v>
      </c>
      <c r="E35" s="249"/>
    </row>
    <row r="36" spans="2:8" ht="12" thickTop="1" x14ac:dyDescent="0.2">
      <c r="B36" t="s">
        <v>815</v>
      </c>
      <c r="D36" s="20">
        <f>D33</f>
        <v>4278978.0600000005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201178.44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10919.06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559712.88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41706.639999999999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11749.61</v>
      </c>
      <c r="D12" s="95">
        <f>'DOE25'!G13</f>
        <v>3173.97</v>
      </c>
      <c r="E12" s="95">
        <f>'DOE25'!H13</f>
        <v>42440.68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207</v>
      </c>
      <c r="D13" s="95">
        <f>'DOE25'!G14</f>
        <v>563.6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2975.78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268736.53000000003</v>
      </c>
      <c r="D18" s="41">
        <f>SUM(D8:D17)</f>
        <v>3737.5699999999997</v>
      </c>
      <c r="E18" s="41">
        <f>SUM(E8:E17)</f>
        <v>42440.68</v>
      </c>
      <c r="F18" s="41">
        <f>SUM(F8:F17)</f>
        <v>0</v>
      </c>
      <c r="G18" s="41">
        <f>SUM(G8:G17)</f>
        <v>559712.88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167.9</v>
      </c>
      <c r="E21" s="95">
        <f>'DOE25'!H22</f>
        <v>41538.74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20802.29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7812.81</v>
      </c>
      <c r="D23" s="95">
        <f>'DOE25'!G24</f>
        <v>1542.6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7699.31</v>
      </c>
      <c r="D27" s="95">
        <f>'DOE25'!G28</f>
        <v>294.36</v>
      </c>
      <c r="E27" s="95">
        <f>'DOE25'!H28</f>
        <v>901.94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1732.71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36314.410000000003</v>
      </c>
      <c r="D31" s="41">
        <f>SUM(D21:D30)</f>
        <v>3737.57</v>
      </c>
      <c r="E31" s="41">
        <f>SUM(E21:E30)</f>
        <v>42440.68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2975.78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559712.88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229346.34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232422.12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559712.88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268736.53000000003</v>
      </c>
      <c r="D51" s="41">
        <f>D50+D31</f>
        <v>3737.57</v>
      </c>
      <c r="E51" s="41">
        <f>E50+E31</f>
        <v>42440.68</v>
      </c>
      <c r="F51" s="41">
        <f>F50+F31</f>
        <v>0</v>
      </c>
      <c r="G51" s="41">
        <f>G50+G31</f>
        <v>559712.88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3096769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537.70000000000005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434.07000000000005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33452.559999999998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48942.31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49730.009999999995</v>
      </c>
      <c r="D62" s="130">
        <f>SUM(D57:D61)</f>
        <v>33452.559999999998</v>
      </c>
      <c r="E62" s="130">
        <f>SUM(E57:E61)</f>
        <v>0</v>
      </c>
      <c r="F62" s="130">
        <f>SUM(F57:F61)</f>
        <v>0</v>
      </c>
      <c r="G62" s="130">
        <f>SUM(G57:G61)</f>
        <v>434.07000000000005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3146499.01</v>
      </c>
      <c r="D63" s="22">
        <f>D56+D62</f>
        <v>33452.559999999998</v>
      </c>
      <c r="E63" s="22">
        <f>E56+E62</f>
        <v>0</v>
      </c>
      <c r="F63" s="22">
        <f>F56+F62</f>
        <v>0</v>
      </c>
      <c r="G63" s="22">
        <f>G56+G62</f>
        <v>434.07000000000005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1285027.45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394001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1679028.45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281464.05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1114.44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281464.05</v>
      </c>
      <c r="D78" s="130">
        <f>SUM(D72:D77)</f>
        <v>1114.44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1960492.5</v>
      </c>
      <c r="D81" s="130">
        <f>SUM(D79:D80)+D78+D70</f>
        <v>1114.44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11407.09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16339.26</v>
      </c>
      <c r="D88" s="95">
        <f>SUM('DOE25'!G153:G161)</f>
        <v>62600.6</v>
      </c>
      <c r="E88" s="95">
        <f>SUM('DOE25'!H153:H161)</f>
        <v>118128.95999999999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16339.26</v>
      </c>
      <c r="D91" s="131">
        <f>SUM(D85:D90)</f>
        <v>62600.6</v>
      </c>
      <c r="E91" s="131">
        <f>SUM(E85:E90)</f>
        <v>129536.04999999999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24833.54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24833.54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5123330.7699999996</v>
      </c>
      <c r="D104" s="86">
        <f>D63+D81+D91+D103</f>
        <v>122001.14000000001</v>
      </c>
      <c r="E104" s="86">
        <f>E63+E81+E91+E103</f>
        <v>129536.04999999999</v>
      </c>
      <c r="F104" s="86">
        <f>F63+F81+F91+F103</f>
        <v>0</v>
      </c>
      <c r="G104" s="86">
        <f>G63+G81+G103</f>
        <v>434.07000000000005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2317414.31</v>
      </c>
      <c r="D109" s="24" t="s">
        <v>289</v>
      </c>
      <c r="E109" s="95">
        <f>('DOE25'!L276)+('DOE25'!L295)+('DOE25'!L314)</f>
        <v>74708.5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709721.42999999993</v>
      </c>
      <c r="D110" s="24" t="s">
        <v>289</v>
      </c>
      <c r="E110" s="95">
        <f>('DOE25'!L277)+('DOE25'!L296)+('DOE25'!L315)</f>
        <v>33491.67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51473.659999999996</v>
      </c>
      <c r="D112" s="24" t="s">
        <v>289</v>
      </c>
      <c r="E112" s="95">
        <f>+('DOE25'!L279)+('DOE25'!L298)+('DOE25'!L317)</f>
        <v>4769.16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7820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3086429.4000000004</v>
      </c>
      <c r="D115" s="86">
        <f>SUM(D109:D114)</f>
        <v>0</v>
      </c>
      <c r="E115" s="86">
        <f>SUM(E109:E114)</f>
        <v>112969.33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218104.92</v>
      </c>
      <c r="D118" s="24" t="s">
        <v>289</v>
      </c>
      <c r="E118" s="95">
        <f>+('DOE25'!L281)+('DOE25'!L300)+('DOE25'!L319)</f>
        <v>240.79000000000002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109276.42</v>
      </c>
      <c r="D119" s="24" t="s">
        <v>289</v>
      </c>
      <c r="E119" s="95">
        <f>+('DOE25'!L282)+('DOE25'!L301)+('DOE25'!L320)</f>
        <v>8487.6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206247.55</v>
      </c>
      <c r="D120" s="24" t="s">
        <v>289</v>
      </c>
      <c r="E120" s="95">
        <f>+('DOE25'!L283)+('DOE25'!L302)+('DOE25'!L321)</f>
        <v>3263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205977.25000000003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4575.33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294642.34999999998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172883.7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22893.17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122001.14000000001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1230025.3599999999</v>
      </c>
      <c r="D128" s="86">
        <f>SUM(D118:D127)</f>
        <v>122001.14000000001</v>
      </c>
      <c r="E128" s="86">
        <f>SUM(E118:E127)</f>
        <v>16566.72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592374.81999999995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226212.68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24833.54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303.67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130.4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-434.07000000000005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843421.04000000015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5159875.8</v>
      </c>
      <c r="D145" s="86">
        <f>(D115+D128+D144)</f>
        <v>122001.14000000001</v>
      </c>
      <c r="E145" s="86">
        <f>(E115+E128+E144)</f>
        <v>129536.05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10960000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6304165.7199999997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6304165.7199999997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592374.81999999995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592374.81999999995</v>
      </c>
    </row>
    <row r="159" spans="1:9" x14ac:dyDescent="0.2">
      <c r="A159" s="22" t="s">
        <v>35</v>
      </c>
      <c r="B159" s="137">
        <f>'DOE25'!F498</f>
        <v>5711790.9000000004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5711790.9000000004</v>
      </c>
    </row>
    <row r="160" spans="1:9" x14ac:dyDescent="0.2">
      <c r="A160" s="22" t="s">
        <v>36</v>
      </c>
      <c r="B160" s="137">
        <f>'DOE25'!F499</f>
        <v>4925452.82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4925452.82</v>
      </c>
    </row>
    <row r="161" spans="1:7" x14ac:dyDescent="0.2">
      <c r="A161" s="22" t="s">
        <v>37</v>
      </c>
      <c r="B161" s="137">
        <f>'DOE25'!F500</f>
        <v>10637243.720000001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10637243.720000001</v>
      </c>
    </row>
    <row r="162" spans="1:7" x14ac:dyDescent="0.2">
      <c r="A162" s="22" t="s">
        <v>38</v>
      </c>
      <c r="B162" s="137">
        <f>'DOE25'!F501</f>
        <v>567370.26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567370.26</v>
      </c>
    </row>
    <row r="163" spans="1:7" x14ac:dyDescent="0.2">
      <c r="A163" s="22" t="s">
        <v>39</v>
      </c>
      <c r="B163" s="137">
        <f>'DOE25'!F502</f>
        <v>252460.99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252460.99</v>
      </c>
    </row>
    <row r="164" spans="1:7" x14ac:dyDescent="0.2">
      <c r="A164" s="22" t="s">
        <v>246</v>
      </c>
      <c r="B164" s="137">
        <f>'DOE25'!F503</f>
        <v>819831.25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819831.25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MARLBOROUGH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15501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15501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2392123</v>
      </c>
      <c r="D10" s="182">
        <f>ROUND((C10/$C$28)*100,1)</f>
        <v>50.2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743213</v>
      </c>
      <c r="D11" s="182">
        <f>ROUND((C11/$C$28)*100,1)</f>
        <v>15.6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56243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218346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117764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232404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205977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4575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294642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172884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7820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226213</v>
      </c>
      <c r="D25" s="182">
        <f t="shared" si="0"/>
        <v>4.8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88548.44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4760752.4400000004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4760752.4400000004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592375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3096769</v>
      </c>
      <c r="D35" s="182">
        <f t="shared" ref="D35:D40" si="1">ROUND((C35/$C$41)*100,1)</f>
        <v>58.2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50164.079999999609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1679028</v>
      </c>
      <c r="D37" s="182">
        <f t="shared" si="1"/>
        <v>31.6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282578</v>
      </c>
      <c r="D38" s="182">
        <f t="shared" si="1"/>
        <v>5.3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208476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5317015.08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MARLBOROUGH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2016-10-13T17:08:09Z</cp:lastPrinted>
  <dcterms:created xsi:type="dcterms:W3CDTF">1997-12-04T19:04:30Z</dcterms:created>
  <dcterms:modified xsi:type="dcterms:W3CDTF">2016-10-13T17:08:12Z</dcterms:modified>
</cp:coreProperties>
</file>