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H523" i="1" l="1"/>
  <c r="I526" i="1"/>
  <c r="H526" i="1"/>
  <c r="I521" i="1"/>
  <c r="H521" i="1"/>
  <c r="G521" i="1"/>
  <c r="F521" i="1"/>
  <c r="J96" i="1"/>
  <c r="G440" i="1"/>
  <c r="H400" i="1"/>
  <c r="H398" i="1"/>
  <c r="H389" i="1"/>
  <c r="H282" i="1"/>
  <c r="G282" i="1"/>
  <c r="F282" i="1"/>
  <c r="G281" i="1"/>
  <c r="J276" i="1"/>
  <c r="I276" i="1"/>
  <c r="G276" i="1"/>
  <c r="H244" i="1"/>
  <c r="I202" i="1"/>
  <c r="H208" i="1"/>
  <c r="H204" i="1"/>
  <c r="H202" i="1"/>
  <c r="G204" i="1"/>
  <c r="F204" i="1"/>
  <c r="F11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G662" i="1" s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5" i="10"/>
  <c r="C16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J640" i="1" s="1"/>
  <c r="H460" i="1"/>
  <c r="I460" i="1"/>
  <c r="F461" i="1"/>
  <c r="H461" i="1"/>
  <c r="I461" i="1"/>
  <c r="F470" i="1"/>
  <c r="G470" i="1"/>
  <c r="H470" i="1"/>
  <c r="H476" i="1" s="1"/>
  <c r="H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L529" i="1"/>
  <c r="F534" i="1"/>
  <c r="G534" i="1"/>
  <c r="H534" i="1"/>
  <c r="H545" i="1" s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J636" i="1" s="1"/>
  <c r="H637" i="1"/>
  <c r="H638" i="1"/>
  <c r="G639" i="1"/>
  <c r="H639" i="1"/>
  <c r="G640" i="1"/>
  <c r="G641" i="1"/>
  <c r="H641" i="1"/>
  <c r="G642" i="1"/>
  <c r="H642" i="1"/>
  <c r="G643" i="1"/>
  <c r="H643" i="1"/>
  <c r="G644" i="1"/>
  <c r="H645" i="1"/>
  <c r="G649" i="1"/>
  <c r="G650" i="1"/>
  <c r="G652" i="1"/>
  <c r="H652" i="1"/>
  <c r="G653" i="1"/>
  <c r="H653" i="1"/>
  <c r="G654" i="1"/>
  <c r="H654" i="1"/>
  <c r="H655" i="1"/>
  <c r="J655" i="1" s="1"/>
  <c r="F192" i="1"/>
  <c r="L256" i="1"/>
  <c r="I257" i="1"/>
  <c r="I271" i="1" s="1"/>
  <c r="G164" i="2"/>
  <c r="C26" i="10"/>
  <c r="L328" i="1"/>
  <c r="L351" i="1"/>
  <c r="A31" i="12"/>
  <c r="A40" i="12"/>
  <c r="D62" i="2"/>
  <c r="D63" i="2" s="1"/>
  <c r="D18" i="13"/>
  <c r="C18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G62" i="2"/>
  <c r="D19" i="13"/>
  <c r="C19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G338" i="1"/>
  <c r="G352" i="1" s="1"/>
  <c r="F169" i="1"/>
  <c r="J140" i="1"/>
  <c r="F571" i="1"/>
  <c r="I552" i="1"/>
  <c r="K550" i="1"/>
  <c r="G22" i="2"/>
  <c r="K598" i="1"/>
  <c r="G647" i="1" s="1"/>
  <c r="C29" i="10"/>
  <c r="H140" i="1"/>
  <c r="L401" i="1"/>
  <c r="C139" i="2" s="1"/>
  <c r="L393" i="1"/>
  <c r="C138" i="2" s="1"/>
  <c r="F22" i="13"/>
  <c r="H25" i="13"/>
  <c r="C25" i="13" s="1"/>
  <c r="H571" i="1"/>
  <c r="L560" i="1"/>
  <c r="J545" i="1"/>
  <c r="H338" i="1"/>
  <c r="H352" i="1" s="1"/>
  <c r="G192" i="1"/>
  <c r="H192" i="1"/>
  <c r="L309" i="1"/>
  <c r="E16" i="13"/>
  <c r="L570" i="1"/>
  <c r="I571" i="1"/>
  <c r="I545" i="1"/>
  <c r="G36" i="2"/>
  <c r="L565" i="1"/>
  <c r="G545" i="1"/>
  <c r="C22" i="13"/>
  <c r="C16" i="13"/>
  <c r="H33" i="13"/>
  <c r="J617" i="1" l="1"/>
  <c r="A13" i="12"/>
  <c r="G645" i="1"/>
  <c r="J645" i="1" s="1"/>
  <c r="L534" i="1"/>
  <c r="H552" i="1"/>
  <c r="F476" i="1"/>
  <c r="H622" i="1" s="1"/>
  <c r="J622" i="1" s="1"/>
  <c r="K271" i="1"/>
  <c r="J649" i="1"/>
  <c r="L524" i="1"/>
  <c r="K551" i="1"/>
  <c r="L544" i="1"/>
  <c r="L545" i="1" s="1"/>
  <c r="K552" i="1"/>
  <c r="J476" i="1"/>
  <c r="H626" i="1" s="1"/>
  <c r="I476" i="1"/>
  <c r="H625" i="1" s="1"/>
  <c r="J625" i="1" s="1"/>
  <c r="G476" i="1"/>
  <c r="H623" i="1" s="1"/>
  <c r="J623" i="1" s="1"/>
  <c r="H661" i="1"/>
  <c r="D29" i="13"/>
  <c r="C29" i="13" s="1"/>
  <c r="D127" i="2"/>
  <c r="D128" i="2" s="1"/>
  <c r="D145" i="2" s="1"/>
  <c r="F661" i="1"/>
  <c r="L362" i="1"/>
  <c r="C27" i="10" s="1"/>
  <c r="E128" i="2"/>
  <c r="L290" i="1"/>
  <c r="E115" i="2"/>
  <c r="D15" i="13"/>
  <c r="C15" i="13" s="1"/>
  <c r="G651" i="1"/>
  <c r="J651" i="1" s="1"/>
  <c r="J647" i="1"/>
  <c r="L247" i="1"/>
  <c r="H660" i="1" s="1"/>
  <c r="C124" i="2"/>
  <c r="C21" i="10"/>
  <c r="D5" i="13"/>
  <c r="C5" i="13" s="1"/>
  <c r="C109" i="2"/>
  <c r="H257" i="1"/>
  <c r="H271" i="1" s="1"/>
  <c r="F662" i="1"/>
  <c r="I662" i="1" s="1"/>
  <c r="D12" i="13"/>
  <c r="C12" i="13" s="1"/>
  <c r="C120" i="2"/>
  <c r="C110" i="2"/>
  <c r="C123" i="2"/>
  <c r="D14" i="13"/>
  <c r="C14" i="13" s="1"/>
  <c r="C121" i="2"/>
  <c r="E8" i="13"/>
  <c r="C8" i="13" s="1"/>
  <c r="L211" i="1"/>
  <c r="C11" i="10"/>
  <c r="C81" i="2"/>
  <c r="J624" i="1"/>
  <c r="H52" i="1"/>
  <c r="H619" i="1" s="1"/>
  <c r="J619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C104" i="2" s="1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G104" i="2" l="1"/>
  <c r="G635" i="1"/>
  <c r="J635" i="1" s="1"/>
  <c r="I661" i="1"/>
  <c r="H664" i="1"/>
  <c r="H667" i="1" s="1"/>
  <c r="F660" i="1"/>
  <c r="F664" i="1" s="1"/>
  <c r="F672" i="1" s="1"/>
  <c r="C4" i="10" s="1"/>
  <c r="C115" i="2"/>
  <c r="C128" i="2"/>
  <c r="C145" i="2" s="1"/>
  <c r="G672" i="1"/>
  <c r="C5" i="10" s="1"/>
  <c r="E33" i="13"/>
  <c r="D35" i="13" s="1"/>
  <c r="L257" i="1"/>
  <c r="L271" i="1" s="1"/>
  <c r="G632" i="1" s="1"/>
  <c r="J632" i="1" s="1"/>
  <c r="I660" i="1"/>
  <c r="I664" i="1" s="1"/>
  <c r="I672" i="1" s="1"/>
  <c r="C7" i="10" s="1"/>
  <c r="C28" i="10"/>
  <c r="D23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26" i="10"/>
  <c r="C30" i="10"/>
  <c r="D16" i="10"/>
  <c r="D10" i="10"/>
  <c r="F667" i="1"/>
  <c r="D20" i="10"/>
  <c r="D15" i="10"/>
  <c r="D25" i="10"/>
  <c r="D19" i="10"/>
  <c r="D13" i="10"/>
  <c r="D11" i="10"/>
  <c r="D21" i="10"/>
  <c r="D22" i="10"/>
  <c r="D27" i="10"/>
  <c r="D18" i="10"/>
  <c r="D17" i="10"/>
  <c r="D12" i="10"/>
  <c r="D24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<sst xmlns="http://schemas.openxmlformats.org/spreadsheetml/2006/main" count="3955" uniqueCount="913">
  <si>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</si>
  <si>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</si>
  <si>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</si>
  <si>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</si>
  <si>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</si>
  <si>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</si>
  <si>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</si>
  <si>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</si>
  <si>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</si>
  <si>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</si>
  <si>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</si>
  <si>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</si>
  <si>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</si>
  <si>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</si>
  <si>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</si>
  <si>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</si>
  <si>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</si>
  <si>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</si>
  <si>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</si>
  <si>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</si>
  <si>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</si>
  <si>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</si>
  <si>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</si>
  <si>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</si>
  <si>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</si>
  <si>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</si>
  <si>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</si>
  <si>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</si>
  <si>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</si>
  <si>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</si>
  <si>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</si>
  <si>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</si>
  <si>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</si>
  <si>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</si>
  <si>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</si>
  <si>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</si>
  <si>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</si>
  <si>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</si>
  <si>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</si>
  <si>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</si>
  <si>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</si>
  <si>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</si>
  <si>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</si>
  <si>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</si>
  <si>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</si>
  <si>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</si>
  <si>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</si>
  <si>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</si>
  <si>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</si>
  <si>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</si>
  <si>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</si>
  <si>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</si>
  <si>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</si>
  <si>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</si>
  <si>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</si>
  <si>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</si>
  <si>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</si>
  <si>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</si>
  <si>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</si>
  <si>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</si>
  <si>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</si>
  <si>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</si>
  <si>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</si>
  <si>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</si>
  <si>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</si>
  <si>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</si>
  <si>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</si>
  <si>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</si>
  <si>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</si>
  <si>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</si>
  <si>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</si>
  <si>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</si>
  <si>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</si>
  <si>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</si>
  <si>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</si>
  <si>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</si>
  <si>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</si>
  <si>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</si>
  <si>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</si>
  <si>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</si>
  <si>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</si>
  <si>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</si>
  <si>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</si>
  <si>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</si>
  <si>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</si>
  <si>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</si>
  <si>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</si>
  <si>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</si>
  <si>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</si>
  <si>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</si>
  <si>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</si>
  <si>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</si>
  <si>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</si>
  <si>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</si>
  <si>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</si>
  <si>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</si>
  <si>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</si>
  <si>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</si>
  <si>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</si>
  <si>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</si>
  <si>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</si>
  <si>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</si>
  <si>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</si>
  <si>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</si>
  <si>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</si>
  <si>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</si>
  <si>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</si>
  <si>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</si>
  <si>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</si>
  <si>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</si>
  <si>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</si>
  <si>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</si>
  <si>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</si>
  <si>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</si>
  <si>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</si>
  <si>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</si>
  <si>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</si>
  <si>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</si>
  <si>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</si>
  <si>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</si>
  <si>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</si>
  <si>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</si>
  <si>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</si>
  <si>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</si>
  <si>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</si>
  <si>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</si>
  <si>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</si>
  <si>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</si>
  <si>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</si>
  <si>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</si>
  <si>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</si>
  <si>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</si>
  <si>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</si>
  <si>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</si>
  <si>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</si>
  <si>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</si>
  <si>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</si>
  <si>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</si>
  <si>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</si>
  <si>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</si>
  <si>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</si>
  <si>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</si>
  <si>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</si>
  <si>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</si>
  <si>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</si>
  <si>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</si>
  <si>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</si>
  <si>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</si>
  <si>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</si>
  <si>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</si>
  <si>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</si>
  <si>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</si>
  <si>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</si>
  <si>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</si>
  <si>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</si>
  <si>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</si>
  <si>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</si>
  <si>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</si>
  <si>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</si>
  <si>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</si>
  <si>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</si>
  <si>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</si>
  <si>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</si>
  <si>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</si>
  <si>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</si>
  <si>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</si>
  <si>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</si>
  <si>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</si>
  <si>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</si>
  <si>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</si>
  <si>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</si>
  <si>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</si>
  <si>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</si>
  <si>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</si>
  <si>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</si>
  <si>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</si>
  <si>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</si>
  <si>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</si>
  <si>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</si>
  <si>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</si>
  <si>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</si>
  <si>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</si>
  <si>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</si>
  <si>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</si>
  <si>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</si>
  <si>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</si>
  <si>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</si>
  <si>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</si>
  <si>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</si>
  <si>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</si>
  <si>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</si>
  <si>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</si>
  <si>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</si>
  <si>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</si>
  <si>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</si>
  <si>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</si>
  <si>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</si>
  <si>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</si>
  <si>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</si>
  <si>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</si>
  <si>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</si>
  <si>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</si>
  <si>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</si>
  <si>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</si>
  <si>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</si>
  <si>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</si>
  <si>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</si>
  <si>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</si>
  <si>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</si>
  <si>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</si>
  <si>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</si>
  <si>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</si>
  <si>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</si>
  <si>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</si>
  <si>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</si>
  <si>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</si>
  <si>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</si>
  <si>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</si>
  <si>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</si>
  <si>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</si>
  <si>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</si>
  <si>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</si>
  <si>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</si>
  <si>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</si>
  <si>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</si>
  <si>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</si>
  <si>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</si>
  <si>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</si>
  <si>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</si>
  <si>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</si>
  <si>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</si>
  <si>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</si>
  <si>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</si>
  <si>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</si>
  <si>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</si>
  <si>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</si>
  <si>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</si>
  <si>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</si>
  <si>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</si>
  <si>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</si>
  <si>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</si>
  <si>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</si>
  <si>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</si>
  <si>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</si>
  <si>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</si>
  <si>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</si>
  <si>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</si>
  <si>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</si>
  <si>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</si>
  <si>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</si>
  <si>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</si>
  <si>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</si>
  <si>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</si>
  <si>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</si>
  <si>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</si>
  <si>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</si>
  <si>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</si>
  <si>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</si>
  <si>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</si>
  <si>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</si>
  <si>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</si>
  <si>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</si>
  <si>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</si>
  <si>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</si>
  <si>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</si>
  <si>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</si>
  <si>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</si>
  <si>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</si>
  <si>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</si>
  <si>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</si>
  <si>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</si>
  <si>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</si>
  <si>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</si>
  <si>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</si>
  <si>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</si>
  <si>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</si>
  <si>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</si>
  <si>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</si>
  <si>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</si>
  <si>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</si>
  <si>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</si>
  <si>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</si>
  <si>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</si>
  <si>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</si>
  <si>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</si>
  <si>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</si>
  <si>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</si>
  <si>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</si>
  <si>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</si>
  <si>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</si>
  <si>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</si>
  <si>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</si>
  <si>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</si>
  <si>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</si>
  <si>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</si>
  <si>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</si>
  <si>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</si>
  <si>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</si>
  <si>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</si>
  <si>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</si>
  <si>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</si>
  <si>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</si>
  <si>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</si>
  <si>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</si>
  <si>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</si>
  <si>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</si>
  <si>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</si>
  <si>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</si>
  <si>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</si>
  <si>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</si>
  <si>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</si>
  <si>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</si>
  <si>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</si>
  <si>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</si>
  <si>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</si>
  <si>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</si>
  <si>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</si>
  <si>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</si>
  <si>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</si>
  <si>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</si>
  <si>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</si>
  <si>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</si>
  <si>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</si>
  <si>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</si>
  <si>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</si>
  <si>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</si>
  <si>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</si>
  <si>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</si>
  <si>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</si>
  <si>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</si>
  <si>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</si>
  <si>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</si>
  <si>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</si>
  <si>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</si>
  <si>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</si>
  <si>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</si>
  <si>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</si>
  <si>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</si>
  <si>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</si>
  <si>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</si>
  <si>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</si>
  <si>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</si>
  <si>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</si>
  <si>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</si>
  <si>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</si>
  <si>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</si>
  <si>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</si>
  <si>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</si>
  <si>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</si>
  <si>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</si>
  <si>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</si>
  <si>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</si>
  <si>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</si>
  <si>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</si>
  <si>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</si>
  <si>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</si>
  <si>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</si>
  <si>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</si>
  <si>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</si>
  <si>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</si>
  <si>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</si>
  <si>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</si>
  <si>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</si>
  <si>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</si>
  <si>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</si>
  <si>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</si>
  <si>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</si>
  <si>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</si>
  <si>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</si>
  <si>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</si>
  <si>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</si>
  <si>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</si>
  <si>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</si>
  <si>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</si>
  <si>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</si>
  <si>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</si>
  <si>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</si>
  <si>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</si>
  <si>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</si>
  <si>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</si>
  <si>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</si>
  <si>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</si>
  <si>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</si>
  <si>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</si>
  <si>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</si>
  <si>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</si>
  <si>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</si>
  <si>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</si>
  <si>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</si>
  <si>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</si>
  <si>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</si>
  <si>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</si>
  <si>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</si>
  <si>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</si>
  <si>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</si>
  <si>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</si>
  <si>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</si>
  <si>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</si>
  <si>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</si>
  <si>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</si>
  <si>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</si>
  <si>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</si>
  <si>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</si>
  <si>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</si>
  <si>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</si>
  <si>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</si>
  <si>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</si>
  <si>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</si>
  <si>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</si>
  <si>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</si>
  <si>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</si>
  <si>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</si>
  <si>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</si>
  <si>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</si>
  <si>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</si>
  <si>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</si>
  <si>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</si>
  <si>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</si>
  <si>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</si>
  <si>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</si>
  <si>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</si>
  <si>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</si>
  <si>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</si>
  <si>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</si>
  <si>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</si>
  <si>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</si>
  <si>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</si>
  <si>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</si>
  <si>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</si>
  <si>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</si>
  <si>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</si>
  <si>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</si>
  <si>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</si>
  <si>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</si>
  <si>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</si>
  <si>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</si>
  <si>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</si>
  <si>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</si>
  <si>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</si>
  <si>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</si>
  <si>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</si>
  <si>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</si>
  <si>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</si>
  <si>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</si>
  <si>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</si>
  <si>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</si>
  <si>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</si>
  <si>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</si>
  <si>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</si>
  <si>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</si>
  <si>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</si>
  <si>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</si>
  <si>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</si>
  <si>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</si>
  <si>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</si>
  <si>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</si>
  <si>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</si>
  <si>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</si>
  <si>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</si>
  <si>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</si>
  <si>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</si>
  <si>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</si>
  <si>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</si>
  <si>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</si>
  <si>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</si>
  <si>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</si>
  <si>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</si>
  <si>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</si>
  <si>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</si>
  <si>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</si>
  <si>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</si>
  <si>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</si>
  <si>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</si>
  <si>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</si>
  <si>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</si>
  <si>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</si>
  <si>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</si>
  <si>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</si>
  <si>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</si>
  <si>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</si>
  <si>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</si>
  <si>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</si>
  <si>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</si>
  <si>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</si>
  <si>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</si>
  <si>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</si>
  <si>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</si>
  <si>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</si>
  <si>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</si>
  <si>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</si>
  <si>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</si>
  <si>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</si>
  <si>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</si>
  <si>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</si>
  <si>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</si>
  <si>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</si>
  <si>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</si>
  <si>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</si>
  <si>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</si>
  <si>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</si>
  <si>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</si>
  <si>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</si>
  <si>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</si>
  <si>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</si>
  <si>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</si>
  <si>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</si>
  <si>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</si>
  <si>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</si>
  <si>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</si>
  <si>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</si>
  <si>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</si>
  <si>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</si>
  <si>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</si>
  <si>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</si>
  <si>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</si>
  <si>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</si>
  <si>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</si>
  <si>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</si>
  <si>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</si>
  <si>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</si>
  <si>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</si>
  <si>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</si>
  <si>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</si>
  <si>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</si>
  <si>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</si>
  <si>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</si>
  <si>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</si>
  <si>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</si>
  <si>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</si>
  <si>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</si>
  <si>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</si>
  <si>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</si>
  <si>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</si>
  <si>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</si>
  <si>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</si>
  <si>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</si>
  <si>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</si>
  <si>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</si>
  <si>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</si>
  <si>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</si>
  <si>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</si>
  <si>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</si>
  <si>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</si>
  <si>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</si>
  <si>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</si>
  <si>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</si>
  <si>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</si>
  <si>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</si>
  <si>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</si>
  <si>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</si>
  <si>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</si>
  <si>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</si>
  <si>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</si>
  <si>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</si>
  <si>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</si>
  <si>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</si>
  <si>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</si>
  <si>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</si>
  <si>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</si>
  <si>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</si>
  <si>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</si>
  <si>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</si>
  <si>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</si>
  <si>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</si>
  <si>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</si>
  <si>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</si>
  <si>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</si>
  <si>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</si>
  <si>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</si>
  <si>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</si>
  <si>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</si>
  <si>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</si>
  <si>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</si>
  <si>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</si>
  <si>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</si>
  <si>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</si>
  <si>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</si>
  <si>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</si>
  <si>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</si>
  <si>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</si>
  <si>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</si>
  <si>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</si>
  <si>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</si>
  <si>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</si>
  <si>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</si>
  <si>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</si>
  <si>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</si>
  <si>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</si>
  <si>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</si>
  <si>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</si>
  <si>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</si>
  <si>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</si>
  <si>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</si>
  <si>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</si>
  <si>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</si>
  <si>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</si>
  <si>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</si>
  <si>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</si>
  <si>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</si>
  <si>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</si>
  <si>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</si>
  <si>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</si>
  <si>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</si>
  <si>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</si>
  <si>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</si>
  <si>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</si>
  <si>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</si>
  <si>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</si>
  <si>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</si>
  <si>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</si>
  <si>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</si>
  <si>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</si>
  <si>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</si>
  <si>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</si>
  <si>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</si>
  <si>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</si>
  <si>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</si>
  <si>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</si>
  <si>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</si>
  <si>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</si>
  <si>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</si>
  <si>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</si>
  <si>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</si>
  <si>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</si>
  <si>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</si>
  <si>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</si>
  <si>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</si>
  <si>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</si>
  <si>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</si>
  <si>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</si>
  <si>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</si>
  <si>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</si>
  <si>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</si>
  <si>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</si>
  <si>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</si>
  <si>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</si>
  <si>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</si>
  <si>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</si>
  <si>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</si>
  <si>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</si>
  <si>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</si>
  <si>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</si>
  <si>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</si>
  <si>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</si>
  <si>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</si>
  <si>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</si>
  <si>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</si>
  <si>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</si>
  <si>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</si>
  <si>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</si>
  <si>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</si>
  <si>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</si>
  <si>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</si>
  <si>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</si>
  <si>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</si>
  <si>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</si>
  <si>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</si>
  <si>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</si>
  <si>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</si>
  <si>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</si>
  <si>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</si>
  <si>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</si>
  <si>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</si>
  <si>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</si>
  <si>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</si>
  <si>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</si>
  <si>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</si>
  <si>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</si>
  <si>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</si>
  <si>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</si>
  <si>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</si>
  <si>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</si>
  <si>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</si>
  <si>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</si>
  <si>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</si>
  <si>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</si>
  <si>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</si>
  <si>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</si>
  <si>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</si>
  <si>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</si>
  <si>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</si>
  <si>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</si>
  <si>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</si>
  <si>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</si>
  <si>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</si>
  <si>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</si>
  <si>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</si>
  <si>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</si>
  <si>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</si>
  <si>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</si>
  <si>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</si>
  <si>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</si>
  <si>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</si>
  <si>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</si>
  <si>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</si>
  <si>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</si>
  <si>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</si>
  <si>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</si>
  <si>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</si>
  <si>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</si>
  <si>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</si>
  <si>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</si>
  <si>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</si>
  <si>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</si>
  <si>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</si>
  <si>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</si>
  <si>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</si>
  <si>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</si>
  <si>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</si>
  <si>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</si>
  <si>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</si>
  <si>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</si>
  <si>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</si>
  <si>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</si>
  <si>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</si>
  <si>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</si>
  <si>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</si>
  <si>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</si>
  <si>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</si>
  <si>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</si>
  <si>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</si>
  <si>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</si>
  <si>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</si>
  <si>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</si>
  <si>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</si>
  <si>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</si>
  <si>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</si>
  <si>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</si>
  <si>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</si>
  <si>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</si>
  <si>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</si>
  <si>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</si>
  <si>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</si>
  <si>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</si>
  <si>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</si>
  <si>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</si>
  <si>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</si>
  <si>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</si>
  <si>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</si>
  <si>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</si>
  <si>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</si>
  <si>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</si>
  <si>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</si>
  <si>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</si>
  <si>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</si>
  <si>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</si>
  <si>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</si>
  <si>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</si>
  <si>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</si>
  <si>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</si>
  <si>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</si>
  <si>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</si>
  <si>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</si>
  <si>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</si>
  <si>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</si>
  <si>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</si>
  <si>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</si>
  <si>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</si>
  <si>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</si>
  <si>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</si>
  <si>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</si>
  <si>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</si>
  <si>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</si>
  <si>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</si>
  <si>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</si>
  <si>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</si>
  <si>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</si>
  <si>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</si>
  <si>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</si>
  <si>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</si>
  <si>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</si>
  <si>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</si>
  <si>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</si>
  <si>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</si>
  <si>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</si>
  <si>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</si>
  <si>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</si>
  <si>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</si>
  <si>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</si>
  <si>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</si>
  <si>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</si>
  <si>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</si>
  <si>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</si>
  <si>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</si>
  <si>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</si>
  <si>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</si>
  <si>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</si>
  <si>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</si>
  <si>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</si>
  <si>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</si>
  <si>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</si>
  <si>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</si>
  <si>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</si>
  <si>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</si>
  <si>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</si>
  <si>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</si>
  <si>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</si>
  <si>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</si>
  <si>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</si>
  <si>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</si>
  <si>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</si>
  <si>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</si>
  <si>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</si>
  <si>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</si>
  <si>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</si>
  <si>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</si>
  <si>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</si>
  <si>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</si>
  <si>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</si>
  <si>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</si>
  <si>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</si>
  <si>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</si>
  <si>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</si>
  <si>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</si>
  <si>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</si>
  <si>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</si>
  <si>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</si>
  <si>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</si>
  <si>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</si>
  <si>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</si>
  <si>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</si>
  <si>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</si>
  <si>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</si>
  <si>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</si>
  <si>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</si>
  <si>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</si>
  <si>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</si>
  <si>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</si>
  <si>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</si>
  <si>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</si>
  <si>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</si>
  <si>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</si>
  <si>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</si>
  <si>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</si>
  <si>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</si>
  <si>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</si>
  <si>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</si>
  <si>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</si>
  <si>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</si>
  <si>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</si>
  <si>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</si>
  <si>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</si>
  <si>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</si>
  <si>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</si>
  <si>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</si>
  <si>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</si>
  <si>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</si>
  <si>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</si>
  <si>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</si>
  <si>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</si>
  <si>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</si>
  <si>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</si>
  <si>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</si>
  <si>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</si>
  <si>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</si>
  <si>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</si>
  <si>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</si>
  <si>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</si>
  <si>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</si>
  <si>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</si>
  <si>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</si>
  <si>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</si>
  <si>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</si>
  <si>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</si>
  <si>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</si>
  <si>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</si>
  <si>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</si>
  <si>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</si>
  <si>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</si>
  <si>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</si>
  <si>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</si>
  <si>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</si>
  <si>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</si>
  <si>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</si>
  <si>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</si>
  <si>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</si>
  <si>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</si>
  <si>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</si>
  <si>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</si>
  <si>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</si>
  <si>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</si>
  <si>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</si>
  <si>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</si>
  <si>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</si>
  <si>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</si>
  <si>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</si>
  <si>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</si>
  <si>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</si>
  <si>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</si>
  <si>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</si>
  <si>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</si>
  <si>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</si>
  <si>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</si>
  <si>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</si>
  <si>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</si>
  <si>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</si>
  <si>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</si>
  <si>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</si>
  <si>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</si>
  <si>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</si>
  <si>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</si>
  <si>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</si>
  <si>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</si>
  <si>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</si>
  <si>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</si>
  <si>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</si>
  <si>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</si>
  <si>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</si>
  <si>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</si>
  <si>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</si>
  <si>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</si>
  <si>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</si>
  <si>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MARLOW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</si>
</sst>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8" zoomScaleNormal="98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6" sqref="F4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341</v>
      </c>
      <c r="C2" s="21">
        <v>341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262710.6-9558.63</f>
        <v>253151.96999999997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394258.87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5797.21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19046.88</v>
      </c>
      <c r="G13" s="18"/>
      <c r="H13" s="18">
        <v>5797.21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277996.05999999994</v>
      </c>
      <c r="G19" s="41">
        <f>SUM(G9:G18)</f>
        <v>0</v>
      </c>
      <c r="H19" s="41">
        <f>SUM(H9:H18)</f>
        <v>5797.21</v>
      </c>
      <c r="I19" s="41">
        <f>SUM(I9:I18)</f>
        <v>0</v>
      </c>
      <c r="J19" s="41">
        <f>SUM(J9:J18)</f>
        <v>394258.87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5797.21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1470.85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9700.7000000000007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3212.31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14383.86</v>
      </c>
      <c r="G32" s="41">
        <f>SUM(G22:G31)</f>
        <v>0</v>
      </c>
      <c r="H32" s="41">
        <f>SUM(H22:H31)</f>
        <v>5797.21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394258.87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1949.5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191662.7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263612.2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394258.87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277996.06</v>
      </c>
      <c r="G52" s="41">
        <f>G51+G32</f>
        <v>0</v>
      </c>
      <c r="H52" s="41">
        <f>H51+H32</f>
        <v>5797.21</v>
      </c>
      <c r="I52" s="41">
        <f>I51+I32</f>
        <v>0</v>
      </c>
      <c r="J52" s="41">
        <f>J51+J32</f>
        <v>394258.87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845438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845438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4700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4700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144.13999999999999</v>
      </c>
      <c r="G96" s="18"/>
      <c r="H96" s="18"/>
      <c r="I96" s="18"/>
      <c r="J96" s="18">
        <f>103.85+4715.67</f>
        <v>4819.5200000000004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6973.03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14234.84+2023.45</f>
        <v>16258.29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23375.46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4819.5200000000004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873513.46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4819.5200000000004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576899.34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148062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724961.34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30476.400000000001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30476.400000000001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755437.74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12246.07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13855.61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6509.18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6719.87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30038.93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30038.93</v>
      </c>
      <c r="G162" s="41">
        <f>SUM(G150:G161)</f>
        <v>0</v>
      </c>
      <c r="H162" s="41">
        <f>SUM(H150:H161)</f>
        <v>39330.730000000003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30038.93</v>
      </c>
      <c r="G169" s="41">
        <f>G147+G162+SUM(G163:G168)</f>
        <v>0</v>
      </c>
      <c r="H169" s="41">
        <f>H147+H162+SUM(H163:H168)</f>
        <v>39330.730000000003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2821.79</v>
      </c>
      <c r="H179" s="18"/>
      <c r="I179" s="18"/>
      <c r="J179" s="18">
        <v>3629.32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2821.79</v>
      </c>
      <c r="H183" s="41">
        <f>SUM(H179:H182)</f>
        <v>0</v>
      </c>
      <c r="I183" s="41">
        <f>SUM(I179:I182)</f>
        <v>0</v>
      </c>
      <c r="J183" s="41">
        <f>SUM(J179:J182)</f>
        <v>3629.32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12955.32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12955.32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12955.32</v>
      </c>
      <c r="G192" s="41">
        <f>G183+SUM(G188:G191)</f>
        <v>2821.79</v>
      </c>
      <c r="H192" s="41">
        <f>+H183+SUM(H188:H191)</f>
        <v>0</v>
      </c>
      <c r="I192" s="41">
        <f>I177+I183+SUM(I188:I191)</f>
        <v>0</v>
      </c>
      <c r="J192" s="41">
        <f>J183</f>
        <v>3629.32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1671945.45</v>
      </c>
      <c r="G193" s="47">
        <f>G112+G140+G169+G192</f>
        <v>2821.79</v>
      </c>
      <c r="H193" s="47">
        <f>H112+H140+H169+H192</f>
        <v>39330.730000000003</v>
      </c>
      <c r="I193" s="47">
        <f>I112+I140+I169+I192</f>
        <v>0</v>
      </c>
      <c r="J193" s="47">
        <f>J112+J140+J192</f>
        <v>8448.84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172508.23</v>
      </c>
      <c r="G197" s="18">
        <v>97251.4</v>
      </c>
      <c r="H197" s="18">
        <v>12402</v>
      </c>
      <c r="I197" s="18">
        <v>7402.43</v>
      </c>
      <c r="J197" s="18">
        <v>533.76</v>
      </c>
      <c r="K197" s="18">
        <v>629.67999999999995</v>
      </c>
      <c r="L197" s="19">
        <f>SUM(F197:K197)</f>
        <v>290727.5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58289.77</v>
      </c>
      <c r="G198" s="18">
        <v>14627.41</v>
      </c>
      <c r="H198" s="18">
        <v>28155</v>
      </c>
      <c r="I198" s="18">
        <v>318.24</v>
      </c>
      <c r="J198" s="18"/>
      <c r="K198" s="18"/>
      <c r="L198" s="19">
        <f>SUM(F198:K198)</f>
        <v>101390.42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>
        <v>1000</v>
      </c>
      <c r="I200" s="18"/>
      <c r="J200" s="18"/>
      <c r="K200" s="18"/>
      <c r="L200" s="19">
        <f>SUM(F200:K200)</f>
        <v>1000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4515.82</v>
      </c>
      <c r="G202" s="18">
        <v>370.68</v>
      </c>
      <c r="H202" s="18">
        <f>13880.37+1800+15216.29+13863.53</f>
        <v>44760.19</v>
      </c>
      <c r="I202" s="18">
        <f>297.77+337.13+12.54</f>
        <v>647.43999999999994</v>
      </c>
      <c r="J202" s="18"/>
      <c r="K202" s="18"/>
      <c r="L202" s="19">
        <f t="shared" ref="L202:L208" si="0">SUM(F202:K202)</f>
        <v>50294.130000000005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10746.46</v>
      </c>
      <c r="G203" s="18">
        <v>881.76</v>
      </c>
      <c r="H203" s="18">
        <v>1000.43</v>
      </c>
      <c r="I203" s="18"/>
      <c r="J203" s="18"/>
      <c r="K203" s="18"/>
      <c r="L203" s="19">
        <f t="shared" si="0"/>
        <v>12628.65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2370+1750</f>
        <v>4120</v>
      </c>
      <c r="G204" s="18">
        <f>213.5+143.68+6000</f>
        <v>6357.18</v>
      </c>
      <c r="H204" s="18">
        <f>1565.1+50+100+7300+50+50014</f>
        <v>59079.1</v>
      </c>
      <c r="I204" s="18"/>
      <c r="J204" s="18"/>
      <c r="K204" s="18"/>
      <c r="L204" s="19">
        <f t="shared" si="0"/>
        <v>69556.28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64121.51</v>
      </c>
      <c r="G205" s="18">
        <v>22720.03</v>
      </c>
      <c r="H205" s="18">
        <v>8223.4</v>
      </c>
      <c r="I205" s="18">
        <v>1538.14</v>
      </c>
      <c r="J205" s="18"/>
      <c r="K205" s="18"/>
      <c r="L205" s="19">
        <f t="shared" si="0"/>
        <v>96603.08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17989.599999999999</v>
      </c>
      <c r="G207" s="18">
        <v>1987.2</v>
      </c>
      <c r="H207" s="18">
        <v>41993.43</v>
      </c>
      <c r="I207" s="18">
        <v>17714.560000000001</v>
      </c>
      <c r="J207" s="18">
        <v>2439</v>
      </c>
      <c r="K207" s="18"/>
      <c r="L207" s="19">
        <f t="shared" si="0"/>
        <v>82123.789999999994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35754.43+19823.33</f>
        <v>55577.760000000002</v>
      </c>
      <c r="I208" s="18"/>
      <c r="J208" s="18"/>
      <c r="K208" s="18"/>
      <c r="L208" s="19">
        <f t="shared" si="0"/>
        <v>55577.760000000002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249.75</v>
      </c>
      <c r="I209" s="18"/>
      <c r="J209" s="18"/>
      <c r="K209" s="18"/>
      <c r="L209" s="19">
        <f>SUM(F209:K209)</f>
        <v>249.75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332291.38999999996</v>
      </c>
      <c r="G211" s="41">
        <f t="shared" si="1"/>
        <v>144195.66</v>
      </c>
      <c r="H211" s="41">
        <f t="shared" si="1"/>
        <v>252441.06</v>
      </c>
      <c r="I211" s="41">
        <f t="shared" si="1"/>
        <v>27620.81</v>
      </c>
      <c r="J211" s="41">
        <f t="shared" si="1"/>
        <v>2972.76</v>
      </c>
      <c r="K211" s="41">
        <f t="shared" si="1"/>
        <v>629.67999999999995</v>
      </c>
      <c r="L211" s="41">
        <f t="shared" si="1"/>
        <v>760151.36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112369.48</v>
      </c>
      <c r="I215" s="18"/>
      <c r="J215" s="18"/>
      <c r="K215" s="18"/>
      <c r="L215" s="19">
        <f>SUM(F215:K215)</f>
        <v>112369.48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28223</v>
      </c>
      <c r="I216" s="18"/>
      <c r="J216" s="18"/>
      <c r="K216" s="18"/>
      <c r="L216" s="19">
        <f>SUM(F216:K216)</f>
        <v>28223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9446.2800000000007</v>
      </c>
      <c r="I226" s="18"/>
      <c r="J226" s="18"/>
      <c r="K226" s="18"/>
      <c r="L226" s="19">
        <f t="shared" si="2"/>
        <v>9446.2800000000007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150038.75999999998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150038.75999999998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312196.15000000002</v>
      </c>
      <c r="I233" s="18"/>
      <c r="J233" s="18"/>
      <c r="K233" s="18"/>
      <c r="L233" s="19">
        <f>SUM(F233:K233)</f>
        <v>312196.15000000002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133532.29999999999</v>
      </c>
      <c r="I234" s="18"/>
      <c r="J234" s="18"/>
      <c r="K234" s="18"/>
      <c r="L234" s="19">
        <f>SUM(F234:K234)</f>
        <v>133532.29999999999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19092.89+31500</f>
        <v>50592.89</v>
      </c>
      <c r="I244" s="18"/>
      <c r="J244" s="18"/>
      <c r="K244" s="18"/>
      <c r="L244" s="19">
        <f t="shared" si="4"/>
        <v>50592.89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496321.34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496321.34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332291.38999999996</v>
      </c>
      <c r="G257" s="41">
        <f t="shared" si="8"/>
        <v>144195.66</v>
      </c>
      <c r="H257" s="41">
        <f t="shared" si="8"/>
        <v>898801.15999999992</v>
      </c>
      <c r="I257" s="41">
        <f t="shared" si="8"/>
        <v>27620.81</v>
      </c>
      <c r="J257" s="41">
        <f t="shared" si="8"/>
        <v>2972.76</v>
      </c>
      <c r="K257" s="41">
        <f t="shared" si="8"/>
        <v>629.67999999999995</v>
      </c>
      <c r="L257" s="41">
        <f t="shared" si="8"/>
        <v>1406511.46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2821.79</v>
      </c>
      <c r="L263" s="19">
        <f>SUM(F263:K263)</f>
        <v>2821.79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3629.32</v>
      </c>
      <c r="L266" s="19">
        <f t="shared" si="9"/>
        <v>3629.32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6451.1100000000006</v>
      </c>
      <c r="L270" s="41">
        <f t="shared" si="9"/>
        <v>6451.1100000000006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332291.38999999996</v>
      </c>
      <c r="G271" s="42">
        <f t="shared" si="11"/>
        <v>144195.66</v>
      </c>
      <c r="H271" s="42">
        <f t="shared" si="11"/>
        <v>898801.15999999992</v>
      </c>
      <c r="I271" s="42">
        <f t="shared" si="11"/>
        <v>27620.81</v>
      </c>
      <c r="J271" s="42">
        <f t="shared" si="11"/>
        <v>2972.76</v>
      </c>
      <c r="K271" s="42">
        <f t="shared" si="11"/>
        <v>7080.7900000000009</v>
      </c>
      <c r="L271" s="42">
        <f t="shared" si="11"/>
        <v>1412962.57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11089.19</v>
      </c>
      <c r="G276" s="18">
        <f>848.32+62.12</f>
        <v>910.44</v>
      </c>
      <c r="H276" s="18"/>
      <c r="I276" s="18">
        <f>2722.7+63.71+326.04</f>
        <v>3112.45</v>
      </c>
      <c r="J276" s="18">
        <f>3460+591.29+442.28+162.63+5029.8</f>
        <v>9686</v>
      </c>
      <c r="K276" s="18"/>
      <c r="L276" s="19">
        <f>SUM(F276:K276)</f>
        <v>24798.080000000002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5862</v>
      </c>
      <c r="G281" s="18">
        <f>448.4+32.8</f>
        <v>481.2</v>
      </c>
      <c r="H281" s="18"/>
      <c r="I281" s="18">
        <v>49.62</v>
      </c>
      <c r="J281" s="18"/>
      <c r="K281" s="18"/>
      <c r="L281" s="19">
        <f t="shared" ref="L281:L287" si="12">SUM(F281:K281)</f>
        <v>6392.82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3250+108.15</f>
        <v>3358.15</v>
      </c>
      <c r="G282" s="18">
        <f>248.01+8.28+509.27+12.08+18.2+0.61</f>
        <v>796.45</v>
      </c>
      <c r="H282" s="18">
        <f>1230+435.95+1040</f>
        <v>2705.95</v>
      </c>
      <c r="I282" s="18">
        <v>347.55</v>
      </c>
      <c r="J282" s="18"/>
      <c r="K282" s="18"/>
      <c r="L282" s="19">
        <f t="shared" si="12"/>
        <v>7208.1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931.73</v>
      </c>
      <c r="L285" s="19">
        <f t="shared" si="12"/>
        <v>931.73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20309.340000000004</v>
      </c>
      <c r="G290" s="42">
        <f t="shared" si="13"/>
        <v>2188.09</v>
      </c>
      <c r="H290" s="42">
        <f t="shared" si="13"/>
        <v>2705.95</v>
      </c>
      <c r="I290" s="42">
        <f t="shared" si="13"/>
        <v>3509.62</v>
      </c>
      <c r="J290" s="42">
        <f t="shared" si="13"/>
        <v>9686</v>
      </c>
      <c r="K290" s="42">
        <f t="shared" si="13"/>
        <v>931.73</v>
      </c>
      <c r="L290" s="41">
        <f t="shared" si="13"/>
        <v>39330.730000000003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20309.340000000004</v>
      </c>
      <c r="G338" s="41">
        <f t="shared" si="20"/>
        <v>2188.09</v>
      </c>
      <c r="H338" s="41">
        <f t="shared" si="20"/>
        <v>2705.95</v>
      </c>
      <c r="I338" s="41">
        <f t="shared" si="20"/>
        <v>3509.62</v>
      </c>
      <c r="J338" s="41">
        <f t="shared" si="20"/>
        <v>9686</v>
      </c>
      <c r="K338" s="41">
        <f t="shared" si="20"/>
        <v>931.73</v>
      </c>
      <c r="L338" s="41">
        <f t="shared" si="20"/>
        <v>39330.730000000003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20309.340000000004</v>
      </c>
      <c r="G352" s="41">
        <f>G338</f>
        <v>2188.09</v>
      </c>
      <c r="H352" s="41">
        <f>H338</f>
        <v>2705.95</v>
      </c>
      <c r="I352" s="41">
        <f>I338</f>
        <v>3509.62</v>
      </c>
      <c r="J352" s="41">
        <f>J338</f>
        <v>9686</v>
      </c>
      <c r="K352" s="47">
        <f>K338+K351</f>
        <v>931.73</v>
      </c>
      <c r="L352" s="41">
        <f>L338+L351</f>
        <v>39330.730000000003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2738.52</v>
      </c>
      <c r="I358" s="18">
        <v>83.27</v>
      </c>
      <c r="J358" s="18"/>
      <c r="K358" s="18"/>
      <c r="L358" s="13">
        <f>SUM(F358:K358)</f>
        <v>2821.79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2738.52</v>
      </c>
      <c r="I362" s="47">
        <f t="shared" si="22"/>
        <v>83.27</v>
      </c>
      <c r="J362" s="47">
        <f t="shared" si="22"/>
        <v>0</v>
      </c>
      <c r="K362" s="47">
        <f t="shared" si="22"/>
        <v>0</v>
      </c>
      <c r="L362" s="47">
        <f t="shared" si="22"/>
        <v>2821.79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83.27</v>
      </c>
      <c r="G368" s="63"/>
      <c r="H368" s="63"/>
      <c r="I368" s="56">
        <f>SUM(F368:H368)</f>
        <v>83.27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83.27</v>
      </c>
      <c r="G369" s="47">
        <f>SUM(G367:G368)</f>
        <v>0</v>
      </c>
      <c r="H369" s="47">
        <f>SUM(H367:H368)</f>
        <v>0</v>
      </c>
      <c r="I369" s="47">
        <f>SUM(I367:I368)</f>
        <v>83.27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3629.32</v>
      </c>
      <c r="H389" s="18">
        <f>27.16+1244.54</f>
        <v>1271.7</v>
      </c>
      <c r="I389" s="18"/>
      <c r="J389" s="24" t="s">
        <v>289</v>
      </c>
      <c r="K389" s="24" t="s">
        <v>289</v>
      </c>
      <c r="L389" s="56">
        <f t="shared" si="25"/>
        <v>4901.0200000000004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3629.32</v>
      </c>
      <c r="H393" s="139">
        <f>SUM(H387:H392)</f>
        <v>1271.7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4901.0200000000004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f>63.12+2856.95</f>
        <v>2920.0699999999997</v>
      </c>
      <c r="I398" s="18"/>
      <c r="J398" s="24" t="s">
        <v>289</v>
      </c>
      <c r="K398" s="24" t="s">
        <v>289</v>
      </c>
      <c r="L398" s="56">
        <f t="shared" si="26"/>
        <v>2920.0699999999997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13.57+614.18</f>
        <v>627.75</v>
      </c>
      <c r="I400" s="18"/>
      <c r="J400" s="24" t="s">
        <v>289</v>
      </c>
      <c r="K400" s="24" t="s">
        <v>289</v>
      </c>
      <c r="L400" s="56">
        <f t="shared" si="26"/>
        <v>627.75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3547.8199999999997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3547.8199999999997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3629.32</v>
      </c>
      <c r="H408" s="47">
        <f>H393+H401+H407</f>
        <v>4819.5199999999995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8448.84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105762.42</v>
      </c>
      <c r="G440" s="18">
        <f>237448.74+51047.71</f>
        <v>288496.45</v>
      </c>
      <c r="H440" s="18"/>
      <c r="I440" s="56">
        <f t="shared" si="33"/>
        <v>394258.87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105762.42</v>
      </c>
      <c r="G446" s="13">
        <f>SUM(G439:G445)</f>
        <v>288496.45</v>
      </c>
      <c r="H446" s="13">
        <f>SUM(H439:H445)</f>
        <v>0</v>
      </c>
      <c r="I446" s="13">
        <f>SUM(I439:I445)</f>
        <v>394258.87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105762.42</v>
      </c>
      <c r="G459" s="18">
        <v>288496.45</v>
      </c>
      <c r="H459" s="18"/>
      <c r="I459" s="56">
        <f t="shared" si="34"/>
        <v>394258.87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105762.42</v>
      </c>
      <c r="G460" s="83">
        <f>SUM(G454:G459)</f>
        <v>288496.45</v>
      </c>
      <c r="H460" s="83">
        <f>SUM(H454:H459)</f>
        <v>0</v>
      </c>
      <c r="I460" s="83">
        <f>SUM(I454:I459)</f>
        <v>394258.87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105762.42</v>
      </c>
      <c r="G461" s="42">
        <f>G452+G460</f>
        <v>288496.45</v>
      </c>
      <c r="H461" s="42">
        <f>H452+H460</f>
        <v>0</v>
      </c>
      <c r="I461" s="42">
        <f>I452+I460</f>
        <v>394258.87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4629.32</v>
      </c>
      <c r="G465" s="18">
        <v>0</v>
      </c>
      <c r="H465" s="18">
        <v>0</v>
      </c>
      <c r="I465" s="18">
        <v>0</v>
      </c>
      <c r="J465" s="18">
        <v>385810.03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1671945.45</v>
      </c>
      <c r="G468" s="18">
        <v>2821.79</v>
      </c>
      <c r="H468" s="18">
        <v>39330.730000000003</v>
      </c>
      <c r="I468" s="18">
        <v>0</v>
      </c>
      <c r="J468" s="18">
        <v>8448.84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1671945.45</v>
      </c>
      <c r="G470" s="53">
        <f>SUM(G468:G469)</f>
        <v>2821.79</v>
      </c>
      <c r="H470" s="53">
        <f>SUM(H468:H469)</f>
        <v>39330.730000000003</v>
      </c>
      <c r="I470" s="53">
        <f>SUM(I468:I469)</f>
        <v>0</v>
      </c>
      <c r="J470" s="53">
        <f>SUM(J468:J469)</f>
        <v>8448.84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1412962.57</v>
      </c>
      <c r="G472" s="18">
        <v>2821.79</v>
      </c>
      <c r="H472" s="18">
        <v>39330.730000000003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1412962.57</v>
      </c>
      <c r="G474" s="53">
        <f>SUM(G472:G473)</f>
        <v>2821.79</v>
      </c>
      <c r="H474" s="53">
        <f>SUM(H472:H473)</f>
        <v>39330.730000000003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263612.19999999995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394258.87000000005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36899.98+21389.79</f>
        <v>58289.770000000004</v>
      </c>
      <c r="G521" s="18">
        <f>3667.77+248.79+39.69+128.96+4433.57+5782.15+326.48</f>
        <v>14627.409999999998</v>
      </c>
      <c r="H521" s="18">
        <f>28155</f>
        <v>28155</v>
      </c>
      <c r="I521" s="18">
        <f>318.24</f>
        <v>318.24</v>
      </c>
      <c r="J521" s="18"/>
      <c r="K521" s="18"/>
      <c r="L521" s="88">
        <f>SUM(F521:K521)</f>
        <v>101390.42000000001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28223</v>
      </c>
      <c r="I522" s="18"/>
      <c r="J522" s="18"/>
      <c r="K522" s="18"/>
      <c r="L522" s="88">
        <f>SUM(F522:K522)</f>
        <v>28223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133532.3</f>
        <v>133532.29999999999</v>
      </c>
      <c r="I523" s="18"/>
      <c r="J523" s="18"/>
      <c r="K523" s="18"/>
      <c r="L523" s="88">
        <f>SUM(F523:K523)</f>
        <v>133532.29999999999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58289.770000000004</v>
      </c>
      <c r="G524" s="108">
        <f t="shared" ref="G524:L524" si="36">SUM(G521:G523)</f>
        <v>14627.409999999998</v>
      </c>
      <c r="H524" s="108">
        <f t="shared" si="36"/>
        <v>189910.3</v>
      </c>
      <c r="I524" s="108">
        <f t="shared" si="36"/>
        <v>318.24</v>
      </c>
      <c r="J524" s="108">
        <f t="shared" si="36"/>
        <v>0</v>
      </c>
      <c r="K524" s="108">
        <f t="shared" si="36"/>
        <v>0</v>
      </c>
      <c r="L524" s="89">
        <f t="shared" si="36"/>
        <v>263145.71999999997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660+1800+15216.29+13863.53</f>
        <v>31539.82</v>
      </c>
      <c r="I526" s="18">
        <f>12.54</f>
        <v>12.54</v>
      </c>
      <c r="J526" s="18"/>
      <c r="K526" s="18">
        <v>145.88999999999999</v>
      </c>
      <c r="L526" s="88">
        <f>SUM(F526:K526)</f>
        <v>31698.25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31539.82</v>
      </c>
      <c r="I529" s="89">
        <f t="shared" si="37"/>
        <v>12.54</v>
      </c>
      <c r="J529" s="89">
        <f t="shared" si="37"/>
        <v>0</v>
      </c>
      <c r="K529" s="89">
        <f t="shared" si="37"/>
        <v>145.88999999999999</v>
      </c>
      <c r="L529" s="89">
        <f t="shared" si="37"/>
        <v>31698.25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4684</v>
      </c>
      <c r="I531" s="18"/>
      <c r="J531" s="18"/>
      <c r="K531" s="18"/>
      <c r="L531" s="88">
        <f>SUM(F531:K531)</f>
        <v>4684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4684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4684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19823.330000000002</v>
      </c>
      <c r="I541" s="18"/>
      <c r="J541" s="18"/>
      <c r="K541" s="18"/>
      <c r="L541" s="88">
        <f>SUM(F541:K541)</f>
        <v>19823.330000000002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31500</v>
      </c>
      <c r="I543" s="18"/>
      <c r="J543" s="18"/>
      <c r="K543" s="18"/>
      <c r="L543" s="88">
        <f>SUM(F543:K543)</f>
        <v>31500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51323.33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51323.33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58289.770000000004</v>
      </c>
      <c r="G545" s="89">
        <f t="shared" ref="G545:L545" si="41">G524+G529+G534+G539+G544</f>
        <v>14627.409999999998</v>
      </c>
      <c r="H545" s="89">
        <f t="shared" si="41"/>
        <v>277457.45</v>
      </c>
      <c r="I545" s="89">
        <f t="shared" si="41"/>
        <v>330.78000000000003</v>
      </c>
      <c r="J545" s="89">
        <f t="shared" si="41"/>
        <v>0</v>
      </c>
      <c r="K545" s="89">
        <f t="shared" si="41"/>
        <v>145.88999999999999</v>
      </c>
      <c r="L545" s="89">
        <f t="shared" si="41"/>
        <v>350851.3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101390.42000000001</v>
      </c>
      <c r="G549" s="87">
        <f>L526</f>
        <v>31698.25</v>
      </c>
      <c r="H549" s="87">
        <f>L531</f>
        <v>4684</v>
      </c>
      <c r="I549" s="87">
        <f>L536</f>
        <v>0</v>
      </c>
      <c r="J549" s="87">
        <f>L541</f>
        <v>19823.330000000002</v>
      </c>
      <c r="K549" s="87">
        <f>SUM(F549:J549)</f>
        <v>157596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28223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28223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133532.29999999999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31500</v>
      </c>
      <c r="K551" s="87">
        <f>SUM(F551:J551)</f>
        <v>165032.29999999999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263145.71999999997</v>
      </c>
      <c r="G552" s="89">
        <f t="shared" si="42"/>
        <v>31698.25</v>
      </c>
      <c r="H552" s="89">
        <f t="shared" si="42"/>
        <v>4684</v>
      </c>
      <c r="I552" s="89">
        <f t="shared" si="42"/>
        <v>0</v>
      </c>
      <c r="J552" s="89">
        <f t="shared" si="42"/>
        <v>51323.33</v>
      </c>
      <c r="K552" s="89">
        <f t="shared" si="42"/>
        <v>350851.3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112369.48</v>
      </c>
      <c r="H575" s="18">
        <v>312196.15000000002</v>
      </c>
      <c r="I575" s="87">
        <f>SUM(F575:H575)</f>
        <v>424565.63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1000</v>
      </c>
      <c r="G578" s="18"/>
      <c r="H578" s="18"/>
      <c r="I578" s="87">
        <f t="shared" si="47"/>
        <v>1000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28223</v>
      </c>
      <c r="H579" s="18">
        <v>52260</v>
      </c>
      <c r="I579" s="87">
        <f t="shared" si="47"/>
        <v>80483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28155</v>
      </c>
      <c r="G580" s="18"/>
      <c r="H580" s="18"/>
      <c r="I580" s="87">
        <f t="shared" si="47"/>
        <v>28155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81272.3</v>
      </c>
      <c r="I582" s="87">
        <f t="shared" si="47"/>
        <v>81272.3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35754.43</v>
      </c>
      <c r="I591" s="18">
        <v>9446.2800000000007</v>
      </c>
      <c r="J591" s="18">
        <v>19092.89</v>
      </c>
      <c r="K591" s="104">
        <f t="shared" ref="K591:K597" si="48">SUM(H591:J591)</f>
        <v>64293.599999999999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19823.330000000002</v>
      </c>
      <c r="I592" s="18"/>
      <c r="J592" s="18">
        <v>31500</v>
      </c>
      <c r="K592" s="104">
        <f t="shared" si="48"/>
        <v>51323.33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55577.760000000002</v>
      </c>
      <c r="I598" s="108">
        <f>SUM(I591:I597)</f>
        <v>9446.2800000000007</v>
      </c>
      <c r="J598" s="108">
        <f>SUM(J591:J597)</f>
        <v>50592.89</v>
      </c>
      <c r="K598" s="108">
        <f>SUM(K591:K597)</f>
        <v>115616.93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12658.76</v>
      </c>
      <c r="I604" s="18"/>
      <c r="J604" s="18"/>
      <c r="K604" s="104">
        <f>SUM(H604:J604)</f>
        <v>12658.76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12658.76</v>
      </c>
      <c r="I605" s="108">
        <f>SUM(I602:I604)</f>
        <v>0</v>
      </c>
      <c r="J605" s="108">
        <f>SUM(J602:J604)</f>
        <v>0</v>
      </c>
      <c r="K605" s="108">
        <f>SUM(K602:K604)</f>
        <v>12658.76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>
        <v>1000</v>
      </c>
      <c r="I611" s="18"/>
      <c r="J611" s="18"/>
      <c r="K611" s="18"/>
      <c r="L611" s="88">
        <f>SUM(F611:K611)</f>
        <v>1000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1000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1000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277996.05999999994</v>
      </c>
      <c r="H617" s="109">
        <f>SUM(F52)</f>
        <v>277996.06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5797.21</v>
      </c>
      <c r="H619" s="109">
        <f>SUM(H52)</f>
        <v>5797.21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394258.87</v>
      </c>
      <c r="H621" s="109">
        <f>SUM(J52)</f>
        <v>394258.87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263612.2</v>
      </c>
      <c r="H622" s="109">
        <f>F476</f>
        <v>263612.19999999995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394258.87</v>
      </c>
      <c r="H626" s="109">
        <f>J476</f>
        <v>394258.87000000005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1671945.45</v>
      </c>
      <c r="H627" s="104">
        <f>SUM(F468)</f>
        <v>1671945.45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2821.79</v>
      </c>
      <c r="H628" s="104">
        <f>SUM(G468)</f>
        <v>2821.79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39330.730000000003</v>
      </c>
      <c r="H629" s="104">
        <f>SUM(H468)</f>
        <v>39330.730000000003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8448.84</v>
      </c>
      <c r="H631" s="104">
        <f>SUM(J468)</f>
        <v>8448.84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1412962.57</v>
      </c>
      <c r="H632" s="104">
        <f>SUM(F472)</f>
        <v>1412962.57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39330.730000000003</v>
      </c>
      <c r="H633" s="104">
        <f>SUM(H472)</f>
        <v>39330.730000000003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83.27</v>
      </c>
      <c r="H634" s="104">
        <f>I369</f>
        <v>83.27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2821.79</v>
      </c>
      <c r="H635" s="104">
        <f>SUM(G472)</f>
        <v>2821.79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8448.84</v>
      </c>
      <c r="H637" s="164">
        <f>SUM(J468)</f>
        <v>8448.84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105762.42</v>
      </c>
      <c r="H639" s="104">
        <f>SUM(F461)</f>
        <v>105762.42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288496.45</v>
      </c>
      <c r="H640" s="104">
        <f>SUM(G461)</f>
        <v>288496.45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394258.87</v>
      </c>
      <c r="H642" s="104">
        <f>SUM(I461)</f>
        <v>394258.87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4819.5200000000004</v>
      </c>
      <c r="H644" s="104">
        <f>H408</f>
        <v>4819.5199999999995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3629.32</v>
      </c>
      <c r="H645" s="104">
        <f>G408</f>
        <v>3629.32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8448.84</v>
      </c>
      <c r="H646" s="104">
        <f>L408</f>
        <v>8448.84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115616.93</v>
      </c>
      <c r="H647" s="104">
        <f>L208+L226+L244</f>
        <v>115616.93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12658.76</v>
      </c>
      <c r="H648" s="104">
        <f>(J257+J338)-(J255+J336)</f>
        <v>12658.76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55577.760000000002</v>
      </c>
      <c r="H649" s="104">
        <f>H598</f>
        <v>55577.760000000002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9446.2800000000007</v>
      </c>
      <c r="H650" s="104">
        <f>I598</f>
        <v>9446.2800000000007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50592.89</v>
      </c>
      <c r="H651" s="104">
        <f>J598</f>
        <v>50592.89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2821.79</v>
      </c>
      <c r="H652" s="104">
        <f>K263+K345</f>
        <v>2821.79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3629.32</v>
      </c>
      <c r="H655" s="104">
        <f>K266+K347</f>
        <v>3629.32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802303.88</v>
      </c>
      <c r="G660" s="19">
        <f>(L229+L309+L359)</f>
        <v>150038.75999999998</v>
      </c>
      <c r="H660" s="19">
        <f>(L247+L328+L360)</f>
        <v>496321.34</v>
      </c>
      <c r="I660" s="19">
        <f>SUM(F660:H660)</f>
        <v>1448663.98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55577.760000000002</v>
      </c>
      <c r="G662" s="19">
        <f>(L226+L306)-(J226+J306)</f>
        <v>9446.2800000000007</v>
      </c>
      <c r="H662" s="19">
        <f>(L244+L325)-(J244+J325)</f>
        <v>50592.89</v>
      </c>
      <c r="I662" s="19">
        <f>SUM(F662:H662)</f>
        <v>115616.93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42813.760000000002</v>
      </c>
      <c r="G663" s="199">
        <f>SUM(G575:G587)+SUM(I602:I604)+L612</f>
        <v>140592.47999999998</v>
      </c>
      <c r="H663" s="199">
        <f>SUM(H575:H587)+SUM(J602:J604)+L613</f>
        <v>445728.45</v>
      </c>
      <c r="I663" s="19">
        <f>SUM(F663:H663)</f>
        <v>629134.68999999994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703912.36</v>
      </c>
      <c r="G664" s="19">
        <f>G660-SUM(G661:G663)</f>
        <v>0</v>
      </c>
      <c r="H664" s="19">
        <f>H660-SUM(H661:H663)</f>
        <v>0</v>
      </c>
      <c r="I664" s="19">
        <f>I660-SUM(I661:I663)</f>
        <v>703912.3600000001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25.53</v>
      </c>
      <c r="G665" s="248"/>
      <c r="H665" s="248"/>
      <c r="I665" s="19">
        <f>SUM(F665:H665)</f>
        <v>25.53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27571.97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27571.97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27571.97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27571.97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MARLOW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183597.42</v>
      </c>
      <c r="C9" s="229">
        <f>'DOE25'!G197+'DOE25'!G215+'DOE25'!G233+'DOE25'!G276+'DOE25'!G295+'DOE25'!G314</f>
        <v>98161.84</v>
      </c>
    </row>
    <row r="10" spans="1:3" x14ac:dyDescent="0.2">
      <c r="A10" t="s">
        <v>779</v>
      </c>
      <c r="B10" s="240">
        <v>172508.23</v>
      </c>
      <c r="C10" s="240">
        <v>92232.92</v>
      </c>
    </row>
    <row r="11" spans="1:3" x14ac:dyDescent="0.2">
      <c r="A11" t="s">
        <v>780</v>
      </c>
      <c r="B11" s="240">
        <v>11089.19</v>
      </c>
      <c r="C11" s="240">
        <v>5928.92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183597.42</v>
      </c>
      <c r="C13" s="231">
        <f>SUM(C10:C12)</f>
        <v>98161.84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58289.77</v>
      </c>
      <c r="C18" s="229">
        <f>'DOE25'!G198+'DOE25'!G216+'DOE25'!G234+'DOE25'!G277+'DOE25'!G296+'DOE25'!G315</f>
        <v>14627.41</v>
      </c>
    </row>
    <row r="19" spans="1:3" x14ac:dyDescent="0.2">
      <c r="A19" t="s">
        <v>779</v>
      </c>
      <c r="B19" s="240">
        <v>36899.980000000003</v>
      </c>
      <c r="C19" s="240">
        <v>9259.7900000000009</v>
      </c>
    </row>
    <row r="20" spans="1:3" x14ac:dyDescent="0.2">
      <c r="A20" t="s">
        <v>780</v>
      </c>
      <c r="B20" s="240">
        <v>21389.79</v>
      </c>
      <c r="C20" s="240">
        <v>5367.62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58289.770000000004</v>
      </c>
      <c r="C22" s="231">
        <f>SUM(C19:C21)</f>
        <v>14627.41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MARLOW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979438.84999999986</v>
      </c>
      <c r="D5" s="20">
        <f>SUM('DOE25'!L197:L200)+SUM('DOE25'!L215:L218)+SUM('DOE25'!L233:L236)-F5-G5</f>
        <v>978275.4099999998</v>
      </c>
      <c r="E5" s="243"/>
      <c r="F5" s="255">
        <f>SUM('DOE25'!J197:J200)+SUM('DOE25'!J215:J218)+SUM('DOE25'!J233:J236)</f>
        <v>533.76</v>
      </c>
      <c r="G5" s="53">
        <f>SUM('DOE25'!K197:K200)+SUM('DOE25'!K215:K218)+SUM('DOE25'!K233:K236)</f>
        <v>629.67999999999995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50294.130000000005</v>
      </c>
      <c r="D6" s="20">
        <f>'DOE25'!L202+'DOE25'!L220+'DOE25'!L238-F6-G6</f>
        <v>50294.130000000005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12628.65</v>
      </c>
      <c r="D7" s="20">
        <f>'DOE25'!L203+'DOE25'!L221+'DOE25'!L239-F7-G7</f>
        <v>12628.65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55765</v>
      </c>
      <c r="D8" s="243"/>
      <c r="E8" s="20">
        <f>'DOE25'!L204+'DOE25'!L222+'DOE25'!L240-F8-G8-D9-D11</f>
        <v>55765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6242.2800000000007</v>
      </c>
      <c r="D9" s="244">
        <f>13542.28-7300</f>
        <v>6242.2800000000007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7300</v>
      </c>
      <c r="D10" s="243"/>
      <c r="E10" s="244">
        <v>7300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7549</v>
      </c>
      <c r="D11" s="244">
        <v>7549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96603.08</v>
      </c>
      <c r="D12" s="20">
        <f>'DOE25'!L205+'DOE25'!L223+'DOE25'!L241-F12-G12</f>
        <v>96603.08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82123.789999999994</v>
      </c>
      <c r="D14" s="20">
        <f>'DOE25'!L207+'DOE25'!L225+'DOE25'!L243-F14-G14</f>
        <v>79684.789999999994</v>
      </c>
      <c r="E14" s="243"/>
      <c r="F14" s="255">
        <f>'DOE25'!J207+'DOE25'!J225+'DOE25'!J243</f>
        <v>2439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115616.93</v>
      </c>
      <c r="D15" s="20">
        <f>'DOE25'!L208+'DOE25'!L226+'DOE25'!L244-F15-G15</f>
        <v>115616.93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249.75</v>
      </c>
      <c r="D16" s="243"/>
      <c r="E16" s="20">
        <f>'DOE25'!L209+'DOE25'!L227+'DOE25'!L245-F16-G16</f>
        <v>249.75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2821.79</v>
      </c>
      <c r="D29" s="20">
        <f>'DOE25'!L358+'DOE25'!L359+'DOE25'!L360-'DOE25'!I367-F29-G29</f>
        <v>2821.79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39330.730000000003</v>
      </c>
      <c r="D31" s="20">
        <f>'DOE25'!L290+'DOE25'!L309+'DOE25'!L328+'DOE25'!L333+'DOE25'!L334+'DOE25'!L335-F31-G31</f>
        <v>28713.000000000004</v>
      </c>
      <c r="E31" s="243"/>
      <c r="F31" s="255">
        <f>'DOE25'!J290+'DOE25'!J309+'DOE25'!J328+'DOE25'!J333+'DOE25'!J334+'DOE25'!J335</f>
        <v>9686</v>
      </c>
      <c r="G31" s="53">
        <f>'DOE25'!K290+'DOE25'!K309+'DOE25'!K328+'DOE25'!K333+'DOE25'!K334+'DOE25'!K335</f>
        <v>931.73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1378429.0599999998</v>
      </c>
      <c r="E33" s="246">
        <f>SUM(E5:E31)</f>
        <v>63314.75</v>
      </c>
      <c r="F33" s="246">
        <f>SUM(F5:F31)</f>
        <v>12658.76</v>
      </c>
      <c r="G33" s="246">
        <f>SUM(G5:G31)</f>
        <v>1561.4099999999999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63314.75</v>
      </c>
      <c r="E35" s="249"/>
    </row>
    <row r="36" spans="2:8" ht="12" thickTop="1" x14ac:dyDescent="0.2">
      <c r="B36" t="s">
        <v>815</v>
      </c>
      <c r="D36" s="20">
        <f>D33</f>
        <v>1378429.0599999998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7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MARLOW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253151.96999999997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394258.87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5797.21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19046.88</v>
      </c>
      <c r="D12" s="95">
        <f>'DOE25'!G13</f>
        <v>0</v>
      </c>
      <c r="E12" s="95">
        <f>'DOE25'!H13</f>
        <v>5797.21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277996.05999999994</v>
      </c>
      <c r="D18" s="41">
        <f>SUM(D8:D17)</f>
        <v>0</v>
      </c>
      <c r="E18" s="41">
        <f>SUM(E8:E17)</f>
        <v>5797.21</v>
      </c>
      <c r="F18" s="41">
        <f>SUM(F8:F17)</f>
        <v>0</v>
      </c>
      <c r="G18" s="41">
        <f>SUM(G8:G17)</f>
        <v>394258.87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5797.21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1470.85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9700.7000000000007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3212.31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14383.86</v>
      </c>
      <c r="D31" s="41">
        <f>SUM(D21:D30)</f>
        <v>0</v>
      </c>
      <c r="E31" s="41">
        <f>SUM(E21:E30)</f>
        <v>5797.21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394258.87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1949.5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191662.7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263612.2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394258.87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277996.06</v>
      </c>
      <c r="D51" s="41">
        <f>D50+D31</f>
        <v>0</v>
      </c>
      <c r="E51" s="41">
        <f>E50+E31</f>
        <v>5797.21</v>
      </c>
      <c r="F51" s="41">
        <f>F50+F31</f>
        <v>0</v>
      </c>
      <c r="G51" s="41">
        <f>G50+G31</f>
        <v>394258.87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845438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4700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144.13999999999999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4819.5200000000004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23231.32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28075.46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4819.5200000000004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873513.46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4819.5200000000004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576899.34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148062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724961.34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30476.400000000001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30476.400000000001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755437.74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12246.07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30038.93</v>
      </c>
      <c r="D88" s="95">
        <f>SUM('DOE25'!G153:G161)</f>
        <v>0</v>
      </c>
      <c r="E88" s="95">
        <f>SUM('DOE25'!H153:H161)</f>
        <v>27084.66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30038.93</v>
      </c>
      <c r="D91" s="131">
        <f>SUM(D85:D90)</f>
        <v>0</v>
      </c>
      <c r="E91" s="131">
        <f>SUM(E85:E90)</f>
        <v>39330.729999999996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2821.79</v>
      </c>
      <c r="E96" s="95">
        <f>'DOE25'!H179</f>
        <v>0</v>
      </c>
      <c r="F96" s="95">
        <f>'DOE25'!I179</f>
        <v>0</v>
      </c>
      <c r="G96" s="95">
        <f>'DOE25'!J179</f>
        <v>3629.32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12955.32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12955.32</v>
      </c>
      <c r="D103" s="86">
        <f>SUM(D93:D102)</f>
        <v>2821.79</v>
      </c>
      <c r="E103" s="86">
        <f>SUM(E93:E102)</f>
        <v>0</v>
      </c>
      <c r="F103" s="86">
        <f>SUM(F93:F102)</f>
        <v>0</v>
      </c>
      <c r="G103" s="86">
        <f>SUM(G93:G102)</f>
        <v>3629.32</v>
      </c>
    </row>
    <row r="104" spans="1:7" ht="12.75" thickTop="1" thickBot="1" x14ac:dyDescent="0.25">
      <c r="A104" s="33" t="s">
        <v>765</v>
      </c>
      <c r="C104" s="86">
        <f>C63+C81+C91+C103</f>
        <v>1671945.45</v>
      </c>
      <c r="D104" s="86">
        <f>D63+D81+D91+D103</f>
        <v>2821.79</v>
      </c>
      <c r="E104" s="86">
        <f>E63+E81+E91+E103</f>
        <v>39330.729999999996</v>
      </c>
      <c r="F104" s="86">
        <f>F63+F81+F91+F103</f>
        <v>0</v>
      </c>
      <c r="G104" s="86">
        <f>G63+G81+G103</f>
        <v>8448.84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715293.13</v>
      </c>
      <c r="D109" s="24" t="s">
        <v>289</v>
      </c>
      <c r="E109" s="95">
        <f>('DOE25'!L276)+('DOE25'!L295)+('DOE25'!L314)</f>
        <v>24798.080000000002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263145.71999999997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1000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979438.85</v>
      </c>
      <c r="D115" s="86">
        <f>SUM(D109:D114)</f>
        <v>0</v>
      </c>
      <c r="E115" s="86">
        <f>SUM(E109:E114)</f>
        <v>24798.080000000002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50294.130000000005</v>
      </c>
      <c r="D118" s="24" t="s">
        <v>289</v>
      </c>
      <c r="E118" s="95">
        <f>+('DOE25'!L281)+('DOE25'!L300)+('DOE25'!L319)</f>
        <v>6392.82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12628.65</v>
      </c>
      <c r="D119" s="24" t="s">
        <v>289</v>
      </c>
      <c r="E119" s="95">
        <f>+('DOE25'!L282)+('DOE25'!L301)+('DOE25'!L320)</f>
        <v>7208.1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69556.28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96603.08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931.73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82123.789999999994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115616.93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249.75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2821.79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427072.61</v>
      </c>
      <c r="D128" s="86">
        <f>SUM(D118:D127)</f>
        <v>2821.79</v>
      </c>
      <c r="E128" s="86">
        <f>SUM(E118:E127)</f>
        <v>14532.65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2821.79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4901.0200000000004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3547.8199999999997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-4819.5200000000004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6451.1100000000006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1412962.57</v>
      </c>
      <c r="D145" s="86">
        <f>(D115+D128+D144)</f>
        <v>2821.79</v>
      </c>
      <c r="E145" s="86">
        <f>(E115+E128+E144)</f>
        <v>39330.730000000003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MARLOW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27572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27572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740091</v>
      </c>
      <c r="D10" s="182">
        <f>ROUND((C10/$C$28)*100,1)</f>
        <v>51.1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263146</v>
      </c>
      <c r="D11" s="182">
        <f>ROUND((C11/$C$28)*100,1)</f>
        <v>18.2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1000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56687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19837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69806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96603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932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82124</v>
      </c>
      <c r="D20" s="182">
        <f t="shared" si="0"/>
        <v>5.7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115617</v>
      </c>
      <c r="D21" s="182">
        <f t="shared" si="0"/>
        <v>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2822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1448665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1448665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845438</v>
      </c>
      <c r="D35" s="182">
        <f t="shared" ref="D35:D40" si="1">ROUND((C35/$C$41)*100,1)</f>
        <v>49.6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32894.979999999981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724961</v>
      </c>
      <c r="D37" s="182">
        <f t="shared" si="1"/>
        <v>42.6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30476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69370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1703139.98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MARLOW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2016-09-15T11:56:02Z</cp:lastPrinted>
  <dcterms:created xsi:type="dcterms:W3CDTF">1997-12-04T19:04:30Z</dcterms:created>
  <dcterms:modified xsi:type="dcterms:W3CDTF">2016-11-01T14:36:38Z</dcterms:modified>
</cp:coreProperties>
</file>