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-90" yWindow="-255" windowWidth="16170" windowHeight="1299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465" i="1" l="1"/>
  <c r="F472" i="1"/>
  <c r="H209" i="1"/>
  <c r="H227" i="1"/>
  <c r="H245" i="1"/>
  <c r="J465" i="1" l="1"/>
  <c r="I359" i="1" l="1"/>
  <c r="H360" i="1"/>
  <c r="H359" i="1"/>
  <c r="H358" i="1"/>
  <c r="F277" i="1"/>
  <c r="I225" i="1" l="1"/>
  <c r="I207" i="1"/>
  <c r="I238" i="1"/>
  <c r="J238" i="1"/>
  <c r="G238" i="1"/>
  <c r="F238" i="1"/>
  <c r="F240" i="1"/>
  <c r="F222" i="1"/>
  <c r="F204" i="1"/>
  <c r="G204" i="1"/>
  <c r="G222" i="1"/>
  <c r="G240" i="1"/>
  <c r="H240" i="1"/>
  <c r="H222" i="1"/>
  <c r="H204" i="1"/>
  <c r="I204" i="1"/>
  <c r="I222" i="1"/>
  <c r="I240" i="1"/>
  <c r="K204" i="1"/>
  <c r="K222" i="1"/>
  <c r="K240" i="1"/>
  <c r="H234" i="1"/>
  <c r="I243" i="1"/>
  <c r="H155" i="1"/>
  <c r="H154" i="1"/>
  <c r="G97" i="1"/>
  <c r="F101" i="1"/>
  <c r="F459" i="1" l="1"/>
  <c r="F28" i="1" l="1"/>
  <c r="F24" i="1"/>
  <c r="F12" i="1"/>
  <c r="F9" i="1"/>
  <c r="F14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C13" i="10" s="1"/>
  <c r="L233" i="1"/>
  <c r="L234" i="1"/>
  <c r="L235" i="1"/>
  <c r="C12" i="10" s="1"/>
  <c r="L236" i="1"/>
  <c r="F6" i="13"/>
  <c r="G6" i="13"/>
  <c r="L202" i="1"/>
  <c r="L220" i="1"/>
  <c r="L238" i="1"/>
  <c r="F7" i="13"/>
  <c r="D7" i="13" s="1"/>
  <c r="C7" i="13" s="1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C124" i="2" s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E109" i="2" s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A31" i="12" s="1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F112" i="1" s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L250" i="1"/>
  <c r="L332" i="1"/>
  <c r="L254" i="1"/>
  <c r="C25" i="10"/>
  <c r="L268" i="1"/>
  <c r="L269" i="1"/>
  <c r="L349" i="1"/>
  <c r="L350" i="1"/>
  <c r="I665" i="1"/>
  <c r="I670" i="1"/>
  <c r="G662" i="1"/>
  <c r="H662" i="1"/>
  <c r="I669" i="1"/>
  <c r="C4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K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J552" i="1" s="1"/>
  <c r="E132" i="2"/>
  <c r="E131" i="2"/>
  <c r="K270" i="1"/>
  <c r="J270" i="1"/>
  <c r="I270" i="1"/>
  <c r="H270" i="1"/>
  <c r="G270" i="1"/>
  <c r="F270" i="1"/>
  <c r="C132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8" i="2" s="1"/>
  <c r="C11" i="2"/>
  <c r="D11" i="2"/>
  <c r="E11" i="2"/>
  <c r="F11" i="2"/>
  <c r="F18" i="2" s="1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D31" i="2" s="1"/>
  <c r="E29" i="2"/>
  <c r="F29" i="2"/>
  <c r="C30" i="2"/>
  <c r="D30" i="2"/>
  <c r="E30" i="2"/>
  <c r="F30" i="2"/>
  <c r="I451" i="1"/>
  <c r="J31" i="1" s="1"/>
  <c r="G30" i="2" s="1"/>
  <c r="C34" i="2"/>
  <c r="D34" i="2"/>
  <c r="D50" i="2" s="1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0" i="2"/>
  <c r="E111" i="2"/>
  <c r="E112" i="2"/>
  <c r="C113" i="2"/>
  <c r="E113" i="2"/>
  <c r="C114" i="2"/>
  <c r="E114" i="2"/>
  <c r="D115" i="2"/>
  <c r="F115" i="2"/>
  <c r="G115" i="2"/>
  <c r="E118" i="2"/>
  <c r="E119" i="2"/>
  <c r="E128" i="2" s="1"/>
  <c r="E120" i="2"/>
  <c r="E121" i="2"/>
  <c r="E122" i="2"/>
  <c r="E123" i="2"/>
  <c r="E124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19" i="1"/>
  <c r="H19" i="1"/>
  <c r="I19" i="1"/>
  <c r="G620" i="1" s="1"/>
  <c r="F32" i="1"/>
  <c r="F52" i="1" s="1"/>
  <c r="H617" i="1" s="1"/>
  <c r="G32" i="1"/>
  <c r="G52" i="1" s="1"/>
  <c r="H618" i="1" s="1"/>
  <c r="H32" i="1"/>
  <c r="I32" i="1"/>
  <c r="H51" i="1"/>
  <c r="G624" i="1" s="1"/>
  <c r="I51" i="1"/>
  <c r="I52" i="1" s="1"/>
  <c r="H620" i="1" s="1"/>
  <c r="F177" i="1"/>
  <c r="I177" i="1"/>
  <c r="F183" i="1"/>
  <c r="F192" i="1" s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H634" i="1" s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G408" i="1" s="1"/>
  <c r="H645" i="1" s="1"/>
  <c r="H401" i="1"/>
  <c r="H408" i="1" s="1"/>
  <c r="H644" i="1" s="1"/>
  <c r="J644" i="1" s="1"/>
  <c r="I401" i="1"/>
  <c r="F407" i="1"/>
  <c r="G407" i="1"/>
  <c r="H407" i="1"/>
  <c r="I407" i="1"/>
  <c r="F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G446" i="1"/>
  <c r="H446" i="1"/>
  <c r="I446" i="1"/>
  <c r="G642" i="1" s="1"/>
  <c r="F452" i="1"/>
  <c r="G452" i="1"/>
  <c r="H452" i="1"/>
  <c r="I452" i="1"/>
  <c r="F460" i="1"/>
  <c r="F461" i="1" s="1"/>
  <c r="H639" i="1" s="1"/>
  <c r="G460" i="1"/>
  <c r="H460" i="1"/>
  <c r="I460" i="1"/>
  <c r="I461" i="1" s="1"/>
  <c r="H642" i="1" s="1"/>
  <c r="G461" i="1"/>
  <c r="H461" i="1"/>
  <c r="F470" i="1"/>
  <c r="G470" i="1"/>
  <c r="G476" i="1" s="1"/>
  <c r="H623" i="1" s="1"/>
  <c r="J623" i="1" s="1"/>
  <c r="H470" i="1"/>
  <c r="H476" i="1" s="1"/>
  <c r="H624" i="1" s="1"/>
  <c r="I470" i="1"/>
  <c r="J470" i="1"/>
  <c r="J476" i="1" s="1"/>
  <c r="H626" i="1" s="1"/>
  <c r="F474" i="1"/>
  <c r="G474" i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K545" i="1" s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7" i="1"/>
  <c r="G618" i="1"/>
  <c r="G619" i="1"/>
  <c r="G622" i="1"/>
  <c r="G623" i="1"/>
  <c r="H627" i="1"/>
  <c r="H628" i="1"/>
  <c r="H629" i="1"/>
  <c r="H630" i="1"/>
  <c r="H631" i="1"/>
  <c r="H632" i="1"/>
  <c r="H633" i="1"/>
  <c r="H635" i="1"/>
  <c r="H636" i="1"/>
  <c r="H637" i="1"/>
  <c r="H638" i="1"/>
  <c r="G640" i="1"/>
  <c r="H640" i="1"/>
  <c r="G641" i="1"/>
  <c r="H641" i="1"/>
  <c r="G643" i="1"/>
  <c r="H643" i="1"/>
  <c r="G644" i="1"/>
  <c r="G650" i="1"/>
  <c r="G651" i="1"/>
  <c r="G652" i="1"/>
  <c r="H652" i="1"/>
  <c r="G653" i="1"/>
  <c r="H653" i="1"/>
  <c r="G654" i="1"/>
  <c r="H654" i="1"/>
  <c r="H655" i="1"/>
  <c r="L256" i="1"/>
  <c r="C26" i="10"/>
  <c r="L328" i="1"/>
  <c r="C70" i="2"/>
  <c r="D62" i="2"/>
  <c r="D63" i="2" s="1"/>
  <c r="D18" i="13"/>
  <c r="C18" i="13" s="1"/>
  <c r="D18" i="2"/>
  <c r="D17" i="13"/>
  <c r="C17" i="13" s="1"/>
  <c r="C91" i="2"/>
  <c r="F78" i="2"/>
  <c r="F81" i="2" s="1"/>
  <c r="G157" i="2"/>
  <c r="G161" i="2"/>
  <c r="G156" i="2"/>
  <c r="E103" i="2"/>
  <c r="D91" i="2"/>
  <c r="E62" i="2"/>
  <c r="E63" i="2" s="1"/>
  <c r="D19" i="13"/>
  <c r="C19" i="13" s="1"/>
  <c r="E78" i="2"/>
  <c r="E81" i="2" s="1"/>
  <c r="L427" i="1"/>
  <c r="H112" i="1"/>
  <c r="J641" i="1"/>
  <c r="K605" i="1"/>
  <c r="G648" i="1" s="1"/>
  <c r="J571" i="1"/>
  <c r="K571" i="1"/>
  <c r="L433" i="1"/>
  <c r="L419" i="1"/>
  <c r="D81" i="2"/>
  <c r="I169" i="1"/>
  <c r="J643" i="1"/>
  <c r="I476" i="1"/>
  <c r="H625" i="1" s="1"/>
  <c r="G338" i="1"/>
  <c r="G352" i="1" s="1"/>
  <c r="F169" i="1"/>
  <c r="J140" i="1"/>
  <c r="F571" i="1"/>
  <c r="I552" i="1"/>
  <c r="G22" i="2"/>
  <c r="C29" i="10"/>
  <c r="H140" i="1"/>
  <c r="L393" i="1"/>
  <c r="F22" i="13"/>
  <c r="J640" i="1"/>
  <c r="H571" i="1"/>
  <c r="L560" i="1"/>
  <c r="H338" i="1"/>
  <c r="H352" i="1" s="1"/>
  <c r="G192" i="1"/>
  <c r="H192" i="1"/>
  <c r="J655" i="1"/>
  <c r="L570" i="1"/>
  <c r="I571" i="1"/>
  <c r="J636" i="1"/>
  <c r="G36" i="2"/>
  <c r="L565" i="1"/>
  <c r="C22" i="13"/>
  <c r="C138" i="2"/>
  <c r="A40" i="12" l="1"/>
  <c r="A13" i="12"/>
  <c r="F476" i="1"/>
  <c r="H622" i="1" s="1"/>
  <c r="L351" i="1"/>
  <c r="L401" i="1"/>
  <c r="C139" i="2" s="1"/>
  <c r="G625" i="1"/>
  <c r="J625" i="1"/>
  <c r="K598" i="1"/>
  <c r="G647" i="1" s="1"/>
  <c r="J651" i="1"/>
  <c r="L544" i="1"/>
  <c r="H545" i="1"/>
  <c r="G545" i="1"/>
  <c r="H552" i="1"/>
  <c r="L534" i="1"/>
  <c r="J545" i="1"/>
  <c r="G552" i="1"/>
  <c r="I545" i="1"/>
  <c r="K551" i="1"/>
  <c r="K549" i="1"/>
  <c r="K552" i="1" s="1"/>
  <c r="L524" i="1"/>
  <c r="F552" i="1"/>
  <c r="K503" i="1"/>
  <c r="K500" i="1"/>
  <c r="J634" i="1"/>
  <c r="F661" i="1"/>
  <c r="L362" i="1"/>
  <c r="G635" i="1" s="1"/>
  <c r="J635" i="1" s="1"/>
  <c r="D127" i="2"/>
  <c r="D128" i="2" s="1"/>
  <c r="D29" i="13"/>
  <c r="C29" i="13" s="1"/>
  <c r="G661" i="1"/>
  <c r="H661" i="1"/>
  <c r="D145" i="2"/>
  <c r="K352" i="1"/>
  <c r="E135" i="2"/>
  <c r="E115" i="2"/>
  <c r="L290" i="1"/>
  <c r="L338" i="1" s="1"/>
  <c r="L352" i="1" s="1"/>
  <c r="G633" i="1" s="1"/>
  <c r="J633" i="1" s="1"/>
  <c r="L309" i="1"/>
  <c r="F338" i="1"/>
  <c r="F352" i="1" s="1"/>
  <c r="H25" i="13"/>
  <c r="C32" i="10"/>
  <c r="C17" i="10"/>
  <c r="C120" i="2"/>
  <c r="D12" i="13"/>
  <c r="C12" i="13" s="1"/>
  <c r="C119" i="2"/>
  <c r="C16" i="10"/>
  <c r="C15" i="10"/>
  <c r="C118" i="2"/>
  <c r="D6" i="13"/>
  <c r="C6" i="13" s="1"/>
  <c r="C112" i="2"/>
  <c r="L229" i="1"/>
  <c r="G660" i="1" s="1"/>
  <c r="K257" i="1"/>
  <c r="K271" i="1" s="1"/>
  <c r="C111" i="2"/>
  <c r="C11" i="10"/>
  <c r="L247" i="1"/>
  <c r="H660" i="1" s="1"/>
  <c r="C125" i="2"/>
  <c r="E16" i="13"/>
  <c r="C16" i="13" s="1"/>
  <c r="C21" i="10"/>
  <c r="F662" i="1"/>
  <c r="I662" i="1" s="1"/>
  <c r="G649" i="1"/>
  <c r="J649" i="1" s="1"/>
  <c r="H647" i="1"/>
  <c r="J647" i="1" s="1"/>
  <c r="D15" i="13"/>
  <c r="C15" i="13" s="1"/>
  <c r="J257" i="1"/>
  <c r="J271" i="1" s="1"/>
  <c r="C123" i="2"/>
  <c r="D14" i="13"/>
  <c r="C14" i="13" s="1"/>
  <c r="C20" i="10"/>
  <c r="I257" i="1"/>
  <c r="I271" i="1" s="1"/>
  <c r="H257" i="1"/>
  <c r="H271" i="1" s="1"/>
  <c r="C122" i="2"/>
  <c r="G257" i="1"/>
  <c r="G271" i="1" s="1"/>
  <c r="F257" i="1"/>
  <c r="F271" i="1" s="1"/>
  <c r="C19" i="10"/>
  <c r="E13" i="13"/>
  <c r="C13" i="13" s="1"/>
  <c r="C18" i="10"/>
  <c r="C121" i="2"/>
  <c r="E8" i="13"/>
  <c r="C8" i="13" s="1"/>
  <c r="D5" i="13"/>
  <c r="C5" i="13" s="1"/>
  <c r="C110" i="2"/>
  <c r="L211" i="1"/>
  <c r="C109" i="2"/>
  <c r="C115" i="2" s="1"/>
  <c r="C10" i="10"/>
  <c r="G645" i="1"/>
  <c r="J645" i="1" s="1"/>
  <c r="C78" i="2"/>
  <c r="C81" i="2" s="1"/>
  <c r="C57" i="2"/>
  <c r="C62" i="2" s="1"/>
  <c r="C63" i="2" s="1"/>
  <c r="C35" i="10"/>
  <c r="C36" i="10" s="1"/>
  <c r="J639" i="1"/>
  <c r="E31" i="2"/>
  <c r="J624" i="1"/>
  <c r="H52" i="1"/>
  <c r="H619" i="1" s="1"/>
  <c r="J619" i="1" s="1"/>
  <c r="J622" i="1"/>
  <c r="J617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G63" i="2"/>
  <c r="J618" i="1"/>
  <c r="G42" i="2"/>
  <c r="J51" i="1"/>
  <c r="G16" i="2"/>
  <c r="J19" i="1"/>
  <c r="G621" i="1" s="1"/>
  <c r="G18" i="2"/>
  <c r="F545" i="1"/>
  <c r="H434" i="1"/>
  <c r="J620" i="1"/>
  <c r="D103" i="2"/>
  <c r="D104" i="2" s="1"/>
  <c r="I140" i="1"/>
  <c r="I193" i="1" s="1"/>
  <c r="G630" i="1" s="1"/>
  <c r="J630" i="1" s="1"/>
  <c r="A22" i="12"/>
  <c r="G50" i="2"/>
  <c r="G51" i="2" s="1"/>
  <c r="J652" i="1"/>
  <c r="J642" i="1"/>
  <c r="G571" i="1"/>
  <c r="I434" i="1"/>
  <c r="G434" i="1"/>
  <c r="E104" i="2"/>
  <c r="I663" i="1"/>
  <c r="C27" i="10"/>
  <c r="E145" i="2" l="1"/>
  <c r="H646" i="1"/>
  <c r="L545" i="1"/>
  <c r="I661" i="1"/>
  <c r="H664" i="1"/>
  <c r="H672" i="1" s="1"/>
  <c r="C6" i="10" s="1"/>
  <c r="G664" i="1"/>
  <c r="G667" i="1" s="1"/>
  <c r="F660" i="1"/>
  <c r="I660" i="1" s="1"/>
  <c r="I664" i="1" s="1"/>
  <c r="I672" i="1" s="1"/>
  <c r="C7" i="10" s="1"/>
  <c r="D31" i="13"/>
  <c r="C31" i="13" s="1"/>
  <c r="C25" i="13"/>
  <c r="H33" i="13"/>
  <c r="C128" i="2"/>
  <c r="C145" i="2" s="1"/>
  <c r="H648" i="1"/>
  <c r="J648" i="1" s="1"/>
  <c r="E33" i="13"/>
  <c r="D35" i="13" s="1"/>
  <c r="F664" i="1"/>
  <c r="F667" i="1" s="1"/>
  <c r="C28" i="10"/>
  <c r="D12" i="10" s="1"/>
  <c r="L257" i="1"/>
  <c r="L271" i="1" s="1"/>
  <c r="G632" i="1" s="1"/>
  <c r="J632" i="1" s="1"/>
  <c r="G104" i="2"/>
  <c r="C104" i="2"/>
  <c r="E51" i="2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H667" i="1" l="1"/>
  <c r="G672" i="1"/>
  <c r="C5" i="10" s="1"/>
  <c r="D33" i="13"/>
  <c r="D36" i="13" s="1"/>
  <c r="F672" i="1"/>
  <c r="C4" i="10" s="1"/>
  <c r="D16" i="10"/>
  <c r="D19" i="10"/>
  <c r="D22" i="10"/>
  <c r="D24" i="10"/>
  <c r="D23" i="10"/>
  <c r="D10" i="10"/>
  <c r="D20" i="10"/>
  <c r="D26" i="10"/>
  <c r="D15" i="10"/>
  <c r="D11" i="10"/>
  <c r="D17" i="10"/>
  <c r="C30" i="10"/>
  <c r="D27" i="10"/>
  <c r="D25" i="10"/>
  <c r="D13" i="10"/>
  <c r="D21" i="10"/>
  <c r="D18" i="10"/>
  <c r="I667" i="1"/>
  <c r="H656" i="1"/>
  <c r="C41" i="10"/>
  <c r="D38" i="10" s="1"/>
  <c r="D28" i="10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<sst xmlns="http://schemas.openxmlformats.org/spreadsheetml/2006/main" count="3958" uniqueCount="915">
  <si>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</si>
  <si>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</si>
  <si>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</si>
  <si>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</si>
  <si>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</si>
  <si>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</si>
  <si>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</si>
  <si>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</si>
  <si>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</si>
  <si>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</si>
  <si>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</si>
  <si>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</si>
  <si>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</si>
  <si>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</si>
  <si>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</si>
  <si>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</si>
  <si>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</si>
  <si>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</si>
  <si>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</si>
  <si>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</si>
  <si>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</si>
  <si>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</si>
  <si>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</si>
  <si>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</si>
  <si>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</si>
  <si>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</si>
  <si>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</si>
  <si>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</si>
  <si>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</si>
  <si>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</si>
  <si>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</si>
  <si>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</si>
  <si>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</si>
  <si>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</si>
  <si>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</si>
  <si>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</si>
  <si>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</si>
  <si>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</si>
  <si>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</si>
  <si>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</si>
  <si>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</si>
  <si>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</si>
  <si>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</si>
  <si>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</si>
  <si>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</si>
  <si>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</si>
  <si>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</si>
  <si>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</si>
  <si>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</si>
  <si>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</si>
  <si>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</si>
  <si>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</si>
  <si>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</si>
  <si>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</si>
  <si>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</si>
  <si>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</si>
  <si>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</si>
  <si>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</si>
  <si>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</si>
  <si>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</si>
  <si>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</si>
  <si>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</si>
  <si>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</si>
  <si>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</si>
  <si>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</si>
  <si>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</si>
  <si>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</si>
  <si>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</si>
  <si>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</si>
  <si>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</si>
  <si>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</si>
  <si>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</si>
  <si>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</si>
  <si>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</si>
  <si>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</si>
  <si>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</si>
  <si>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</si>
  <si>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</si>
  <si>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</si>
  <si>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</si>
  <si>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</si>
  <si>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</si>
  <si>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</si>
  <si>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</si>
  <si>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</si>
  <si>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</si>
  <si>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</si>
  <si>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</si>
  <si>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</si>
  <si>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</si>
  <si>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</si>
  <si>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</si>
  <si>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</si>
  <si>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</si>
  <si>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</si>
  <si>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</si>
  <si>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</si>
  <si>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</si>
  <si>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</si>
  <si>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</si>
  <si>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</si>
  <si>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</si>
  <si>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</si>
  <si>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</si>
  <si>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</si>
  <si>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</si>
  <si>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</si>
  <si>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</si>
  <si>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</si>
  <si>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</si>
  <si>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</si>
  <si>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</si>
  <si>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</si>
  <si>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</si>
  <si>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</si>
  <si>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</si>
  <si>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</si>
  <si>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</si>
  <si>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</si>
  <si>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</si>
  <si>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</si>
  <si>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</si>
  <si>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</si>
  <si>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</si>
  <si>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</si>
  <si>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</si>
  <si>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</si>
  <si>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</si>
  <si>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</si>
  <si>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</si>
  <si>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</si>
  <si>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</si>
  <si>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</si>
  <si>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</si>
  <si>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</si>
  <si>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</si>
  <si>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</si>
  <si>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</si>
  <si>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</si>
  <si>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</si>
  <si>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</si>
  <si>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</si>
  <si>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</si>
  <si>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</si>
  <si>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</si>
  <si>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</si>
  <si>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</si>
  <si>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</si>
  <si>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</si>
  <si>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</si>
  <si>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</si>
  <si>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</si>
  <si>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</si>
  <si>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</si>
  <si>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</si>
  <si>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</si>
  <si>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</si>
  <si>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</si>
  <si>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</si>
  <si>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</si>
  <si>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</si>
  <si>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</si>
  <si>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</si>
  <si>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</si>
  <si>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</si>
  <si>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</si>
  <si>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</si>
  <si>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</si>
  <si>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</si>
  <si>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</si>
  <si>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</si>
  <si>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</si>
  <si>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</si>
  <si>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</si>
  <si>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</si>
  <si>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</si>
  <si>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</si>
  <si>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</si>
  <si>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</si>
  <si>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</si>
  <si>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</si>
  <si>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</si>
  <si>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</si>
  <si>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</si>
  <si>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</si>
  <si>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</si>
  <si>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</si>
  <si>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</si>
  <si>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</si>
  <si>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</si>
  <si>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</si>
  <si>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</si>
  <si>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</si>
  <si>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</si>
  <si>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</si>
  <si>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</si>
  <si>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</si>
  <si>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</si>
  <si>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</si>
  <si>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</si>
  <si>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</si>
  <si>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</si>
  <si>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</si>
  <si>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</si>
  <si>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</si>
  <si>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</si>
  <si>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</si>
  <si>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</si>
  <si>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</si>
  <si>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</si>
  <si>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</si>
  <si>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</si>
  <si>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</si>
  <si>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</si>
  <si>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</si>
  <si>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</si>
  <si>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</si>
  <si>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</si>
  <si>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</si>
  <si>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</si>
  <si>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</si>
  <si>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</si>
  <si>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</si>
  <si>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</si>
  <si>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</si>
  <si>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</si>
  <si>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</si>
  <si>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</si>
  <si>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</si>
  <si>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</si>
  <si>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</si>
  <si>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</si>
  <si>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</si>
  <si>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</si>
  <si>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</si>
  <si>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</si>
  <si>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</si>
  <si>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</si>
  <si>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</si>
  <si>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</si>
  <si>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</si>
  <si>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</si>
  <si>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</si>
  <si>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</si>
  <si>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</si>
  <si>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</si>
  <si>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</si>
  <si>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</si>
  <si>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</si>
  <si>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</si>
  <si>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</si>
  <si>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</si>
  <si>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</si>
  <si>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</si>
  <si>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</si>
  <si>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</si>
  <si>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</si>
  <si>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</si>
  <si>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</si>
  <si>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</si>
  <si>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</si>
  <si>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</si>
  <si>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</si>
  <si>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</si>
  <si>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</si>
  <si>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</si>
  <si>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</si>
  <si>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</si>
  <si>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</si>
  <si>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</si>
  <si>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</si>
  <si>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</si>
  <si>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</si>
  <si>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</si>
  <si>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</si>
  <si>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</si>
  <si>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</si>
  <si>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</si>
  <si>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</si>
  <si>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</si>
  <si>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</si>
  <si>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</si>
  <si>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</si>
  <si>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</si>
  <si>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</si>
  <si>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</si>
  <si>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</si>
  <si>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</si>
  <si>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</si>
  <si>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</si>
  <si>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</si>
  <si>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</si>
  <si>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</si>
  <si>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</si>
  <si>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</si>
  <si>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</si>
  <si>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</si>
  <si>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</si>
  <si>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</si>
  <si>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</si>
  <si>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</si>
  <si>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</si>
  <si>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</si>
  <si>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</si>
  <si>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</si>
  <si>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</si>
  <si>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</si>
  <si>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</si>
  <si>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</si>
  <si>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</si>
  <si>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</si>
  <si>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</si>
  <si>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</si>
  <si>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</si>
  <si>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</si>
  <si>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</si>
  <si>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</si>
  <si>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</si>
  <si>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</si>
  <si>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</si>
  <si>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</si>
  <si>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</si>
  <si>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</si>
  <si>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</si>
  <si>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</si>
  <si>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</si>
  <si>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</si>
  <si>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</si>
  <si>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</si>
  <si>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</si>
  <si>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</si>
  <si>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</si>
  <si>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</si>
  <si>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</si>
  <si>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</si>
  <si>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</si>
  <si>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</si>
  <si>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</si>
  <si>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</si>
  <si>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</si>
  <si>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</si>
  <si>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</si>
  <si>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</si>
  <si>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</si>
  <si>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</si>
  <si>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</si>
  <si>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</si>
  <si>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</si>
  <si>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</si>
  <si>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</si>
  <si>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</si>
  <si>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</si>
  <si>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</si>
  <si>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</si>
  <si>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</si>
  <si>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</si>
  <si>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</si>
  <si>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</si>
  <si>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</si>
  <si>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</si>
  <si>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</si>
  <si>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</si>
  <si>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</si>
  <si>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</si>
  <si>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</si>
  <si>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</si>
  <si>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</si>
  <si>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</si>
  <si>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</si>
  <si>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</si>
  <si>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</si>
  <si>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</si>
  <si>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</si>
  <si>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</si>
  <si>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</si>
  <si>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</si>
  <si>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</si>
  <si>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</si>
  <si>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</si>
  <si>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</si>
  <si>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</si>
  <si>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</si>
  <si>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</si>
  <si>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</si>
  <si>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</si>
  <si>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</si>
  <si>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</si>
  <si>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</si>
  <si>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</si>
  <si>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</si>
  <si>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</si>
  <si>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</si>
  <si>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</si>
  <si>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</si>
  <si>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</si>
  <si>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</si>
  <si>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</si>
  <si>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</si>
  <si>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</si>
  <si>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</si>
  <si>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</si>
  <si>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</si>
  <si>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</si>
  <si>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</si>
  <si>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</si>
  <si>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</si>
  <si>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</si>
  <si>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</si>
  <si>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</si>
  <si>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</si>
  <si>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</si>
  <si>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</si>
  <si>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</si>
  <si>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</si>
  <si>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</si>
  <si>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</si>
  <si>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</si>
  <si>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</si>
  <si>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</si>
  <si>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</si>
  <si>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</si>
  <si>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</si>
  <si>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</si>
  <si>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</si>
  <si>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</si>
  <si>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</si>
  <si>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</si>
  <si>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</si>
  <si>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</si>
  <si>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</si>
  <si>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</si>
  <si>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</si>
  <si>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</si>
  <si>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</si>
  <si>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</si>
  <si>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</si>
  <si>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</si>
  <si>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</si>
  <si>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</si>
  <si>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</si>
  <si>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</si>
  <si>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</si>
  <si>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</si>
  <si>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</si>
  <si>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</si>
  <si>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</si>
  <si>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</si>
  <si>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</si>
  <si>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</si>
  <si>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</si>
  <si>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</si>
  <si>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</si>
  <si>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</si>
  <si>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</si>
  <si>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</si>
  <si>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</si>
  <si>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</si>
  <si>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</si>
  <si>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</si>
  <si>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</si>
  <si>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</si>
  <si>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</si>
  <si>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</si>
  <si>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</si>
  <si>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</si>
  <si>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</si>
  <si>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</si>
  <si>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</si>
  <si>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</si>
  <si>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</si>
  <si>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</si>
  <si>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</si>
  <si>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</si>
  <si>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</si>
  <si>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</si>
  <si>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</si>
  <si>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</si>
  <si>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</si>
  <si>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</si>
  <si>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</si>
  <si>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</si>
  <si>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</si>
  <si>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</si>
  <si>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</si>
  <si>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</si>
  <si>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</si>
  <si>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</si>
  <si>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</si>
  <si>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</si>
  <si>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</si>
  <si>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</si>
  <si>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</si>
  <si>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</si>
  <si>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</si>
  <si>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</si>
  <si>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</si>
  <si>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</si>
  <si>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</si>
  <si>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</si>
  <si>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</si>
  <si>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</si>
  <si>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</si>
  <si>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</si>
  <si>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</si>
  <si>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</si>
  <si>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</si>
  <si>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</si>
  <si>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</si>
  <si>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</si>
  <si>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</si>
  <si>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</si>
  <si>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</si>
  <si>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</si>
  <si>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</si>
  <si>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</si>
  <si>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</si>
  <si>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</si>
  <si>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</si>
  <si>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</si>
  <si>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</si>
  <si>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</si>
  <si>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</si>
  <si>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</si>
  <si>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</si>
  <si>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</si>
  <si>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</si>
  <si>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</si>
  <si>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</si>
  <si>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</si>
  <si>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</si>
  <si>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</si>
  <si>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</si>
  <si>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</si>
  <si>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</si>
  <si>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</si>
  <si>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</si>
  <si>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</si>
  <si>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</si>
  <si>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</si>
  <si>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</si>
  <si>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</si>
  <si>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</si>
  <si>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</si>
  <si>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</si>
  <si>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</si>
  <si>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</si>
  <si>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</si>
  <si>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</si>
  <si>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</si>
  <si>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</si>
  <si>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</si>
  <si>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</si>
  <si>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</si>
  <si>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</si>
  <si>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</si>
  <si>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</si>
  <si>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</si>
  <si>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</si>
  <si>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</si>
  <si>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</si>
  <si>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</si>
  <si>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</si>
  <si>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</si>
  <si>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</si>
  <si>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</si>
  <si>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</si>
  <si>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</si>
  <si>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</si>
  <si>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</si>
  <si>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</si>
  <si>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</si>
  <si>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</si>
  <si>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</si>
  <si>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</si>
  <si>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</si>
  <si>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</si>
  <si>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</si>
  <si>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</si>
  <si>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</si>
  <si>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</si>
  <si>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</si>
  <si>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</si>
  <si>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</si>
  <si>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</si>
  <si>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</si>
  <si>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</si>
  <si>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</si>
  <si>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</si>
  <si>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</si>
  <si>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</si>
  <si>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</si>
  <si>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</si>
  <si>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</si>
  <si>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</si>
  <si>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</si>
  <si>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</si>
  <si>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</si>
  <si>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</si>
  <si>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</si>
  <si>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</si>
  <si>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</si>
  <si>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</si>
  <si>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</si>
  <si>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</si>
  <si>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</si>
  <si>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</si>
  <si>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</si>
  <si>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</si>
  <si>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</si>
  <si>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</si>
  <si>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</si>
  <si>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</si>
  <si>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</si>
  <si>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</si>
  <si>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</si>
  <si>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</si>
  <si>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</si>
  <si>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</si>
  <si>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</si>
  <si>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</si>
  <si>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</si>
  <si>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</si>
  <si>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</si>
  <si>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</si>
  <si>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</si>
  <si>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</si>
  <si>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</si>
  <si>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</si>
  <si>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</si>
  <si>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</si>
  <si>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</si>
  <si>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</si>
  <si>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</si>
  <si>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</si>
  <si>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</si>
  <si>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</si>
  <si>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</si>
  <si>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</si>
  <si>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</si>
  <si>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</si>
  <si>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</si>
  <si>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</si>
  <si>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</si>
  <si>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</si>
  <si>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</si>
  <si>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</si>
  <si>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</si>
  <si>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</si>
  <si>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</si>
  <si>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</si>
  <si>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</si>
  <si>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</si>
  <si>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</si>
  <si>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</si>
  <si>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</si>
  <si>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</si>
  <si>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</si>
  <si>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</si>
  <si>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</si>
  <si>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</si>
  <si>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</si>
  <si>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</si>
  <si>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</si>
  <si>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</si>
  <si>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</si>
  <si>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</si>
  <si>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</si>
  <si>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</si>
  <si>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</si>
  <si>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</si>
  <si>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</si>
  <si>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</si>
  <si>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</si>
  <si>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</si>
  <si>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</si>
  <si>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</si>
  <si>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</si>
  <si>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</si>
  <si>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</si>
  <si>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</si>
  <si>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</si>
  <si>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</si>
  <si>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</si>
  <si>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</si>
  <si>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</si>
  <si>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</si>
  <si>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</si>
  <si>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</si>
  <si>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</si>
  <si>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</si>
  <si>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</si>
  <si>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</si>
  <si>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</si>
  <si>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</si>
  <si>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</si>
  <si>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</si>
  <si>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</si>
  <si>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</si>
  <si>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</si>
  <si>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</si>
  <si>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</si>
  <si>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</si>
  <si>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</si>
  <si>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</si>
  <si>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</si>
  <si>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</si>
  <si>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</si>
  <si>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</si>
  <si>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</si>
  <si>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</si>
  <si>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</si>
  <si>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</si>
  <si>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</si>
  <si>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</si>
  <si>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</si>
  <si>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</si>
  <si>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</si>
  <si>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</si>
  <si>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</si>
  <si>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</si>
  <si>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</si>
  <si>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</si>
  <si>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</si>
  <si>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</si>
  <si>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</si>
  <si>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</si>
  <si>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</si>
  <si>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</si>
  <si>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</si>
  <si>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</si>
  <si>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</si>
  <si>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</si>
  <si>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</si>
  <si>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</si>
  <si>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</si>
  <si>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</si>
  <si>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</si>
  <si>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</si>
  <si>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</si>
  <si>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</si>
  <si>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</si>
  <si>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</si>
  <si>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</si>
  <si>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</si>
  <si>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</si>
  <si>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</si>
  <si>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</si>
  <si>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</si>
  <si>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</si>
  <si>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</si>
  <si>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</si>
  <si>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</si>
  <si>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</si>
  <si>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</si>
  <si>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</si>
  <si>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</si>
  <si>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</si>
  <si>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</si>
  <si>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</si>
  <si>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</si>
  <si>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</si>
  <si>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</si>
  <si>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</si>
  <si>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</si>
  <si>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</si>
  <si>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</si>
  <si>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</si>
  <si>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</si>
  <si>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</si>
  <si>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</si>
  <si>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</si>
  <si>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</si>
  <si>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</si>
  <si>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</si>
  <si>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</si>
  <si>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</si>
  <si>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</si>
  <si>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</si>
  <si>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</si>
  <si>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</si>
  <si>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</si>
  <si>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</si>
  <si>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</si>
  <si>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</si>
  <si>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</si>
  <si>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</si>
  <si>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</si>
  <si>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</si>
  <si>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</si>
  <si>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</si>
  <si>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</si>
  <si>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</si>
  <si>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</si>
  <si>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</si>
  <si>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</si>
  <si>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</si>
  <si>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</si>
  <si>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</si>
  <si>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</si>
  <si>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</si>
  <si>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</si>
  <si>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</si>
  <si>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</si>
  <si>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</si>
  <si>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</si>
  <si>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</si>
  <si>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</si>
  <si>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</si>
  <si>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</si>
  <si>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</si>
  <si>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</si>
  <si>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</si>
  <si>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</si>
  <si>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</si>
  <si>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</si>
  <si>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</si>
  <si>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</si>
  <si>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</si>
  <si>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</si>
  <si>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</si>
  <si>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</si>
  <si>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</si>
  <si>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</si>
  <si>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</si>
  <si>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</si>
  <si>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</si>
  <si>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</si>
  <si>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</si>
  <si>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</si>
  <si>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</si>
  <si>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</si>
  <si>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</si>
  <si>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</si>
  <si>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</si>
  <si>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</si>
  <si>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</si>
  <si>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</si>
  <si>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</si>
  <si>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</si>
  <si>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</si>
  <si>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</si>
  <si>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</si>
  <si>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</si>
  <si>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</si>
  <si>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</si>
  <si>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</si>
  <si>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</si>
  <si>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</si>
  <si>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</si>
  <si>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</si>
  <si>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</si>
  <si>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</si>
  <si>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</si>
  <si>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</si>
  <si>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</si>
  <si>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</si>
  <si>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</si>
  <si>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</si>
  <si>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</si>
  <si>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</si>
  <si>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</si>
  <si>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</si>
  <si>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</si>
  <si>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</si>
  <si>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</si>
  <si>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</si>
  <si>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</si>
  <si>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</si>
  <si>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</si>
  <si>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</si>
  <si>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</si>
  <si>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</si>
  <si>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</si>
  <si>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</si>
  <si>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</si>
  <si>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</si>
  <si>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</si>
  <si>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</si>
  <si>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</si>
  <si>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</si>
  <si>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</si>
  <si>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</si>
  <si>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</si>
  <si>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</si>
  <si>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</si>
  <si>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</si>
  <si>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</si>
  <si>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</si>
  <si>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</si>
  <si>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</si>
  <si>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</si>
  <si>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</si>
  <si>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</si>
  <si>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</si>
  <si>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</si>
  <si>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</si>
  <si>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</si>
  <si>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</si>
  <si>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</si>
  <si>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</si>
  <si>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</si>
  <si>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</si>
  <si>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</si>
  <si>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</si>
  <si>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</si>
  <si>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</si>
  <si>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</si>
  <si>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</si>
  <si>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</si>
  <si>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</si>
  <si>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</si>
  <si>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</si>
  <si>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6/10</t>
  </si>
  <si>
    <t>9/26</t>
  </si>
  <si>
    <t>MASCENIC REGIONAL SCHOOL DISTRICT #87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</si>
</sst>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4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6" t="s">
        <v>914</v>
      </c>
      <c r="B2" s="21">
        <v>342</v>
      </c>
      <c r="C2" s="21">
        <v>0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1712798.45+6995.79</f>
        <v>1719794.24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>
        <v>80142.48</v>
      </c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f>1777756.38-1719794.24</f>
        <v>57962.139999999898</v>
      </c>
      <c r="G12" s="18">
        <v>51679.15</v>
      </c>
      <c r="H12" s="18"/>
      <c r="I12" s="18">
        <v>6990</v>
      </c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0</v>
      </c>
      <c r="G13" s="18"/>
      <c r="H13" s="18"/>
      <c r="I13" s="18"/>
      <c r="J13" s="67">
        <f>SUM(I442)</f>
        <v>420475.68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f>434.69+18614-2939.96</f>
        <v>16108.73</v>
      </c>
      <c r="G14" s="18"/>
      <c r="H14" s="18">
        <v>88720.37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6770.3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1874007.5899999999</v>
      </c>
      <c r="G19" s="41">
        <f>SUM(G9:G18)</f>
        <v>58449.450000000004</v>
      </c>
      <c r="H19" s="41">
        <f>SUM(H9:H18)</f>
        <v>88720.37</v>
      </c>
      <c r="I19" s="41">
        <f>SUM(I9:I18)</f>
        <v>6990</v>
      </c>
      <c r="J19" s="41">
        <f>SUM(J9:J18)</f>
        <v>420475.68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9243.67</v>
      </c>
      <c r="G22" s="18"/>
      <c r="H22" s="18">
        <v>116631.29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f>52761.94+40876.85</f>
        <v>93638.790000000008</v>
      </c>
      <c r="G24" s="18">
        <v>46991</v>
      </c>
      <c r="H24" s="18">
        <v>1008.75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f>35958.41+25926.5</f>
        <v>61884.91</v>
      </c>
      <c r="G28" s="18"/>
      <c r="H28" s="18" t="s">
        <v>287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4544.3599999999997</v>
      </c>
      <c r="H30" s="18">
        <v>653.41999999999996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164767.37</v>
      </c>
      <c r="G32" s="41">
        <f>SUM(G22:G31)</f>
        <v>51535.360000000001</v>
      </c>
      <c r="H32" s="41">
        <f>SUM(H22:H31)</f>
        <v>118293.45999999999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6770.3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>
        <v>143.79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85000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>
        <v>-29573.09</v>
      </c>
      <c r="I45" s="18">
        <v>6990</v>
      </c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>
        <v>372749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420475.68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>
        <v>0</v>
      </c>
      <c r="I49" s="18">
        <v>0</v>
      </c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1251491.22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1709240.22</v>
      </c>
      <c r="G51" s="41">
        <f>SUM(G35:G50)</f>
        <v>6914.09</v>
      </c>
      <c r="H51" s="41">
        <f>SUM(H35:H50)</f>
        <v>-29573.09</v>
      </c>
      <c r="I51" s="41">
        <f>SUM(I35:I50)</f>
        <v>6990</v>
      </c>
      <c r="J51" s="41">
        <f>SUM(J35:J50)</f>
        <v>420475.68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1874007.5899999999</v>
      </c>
      <c r="G52" s="41">
        <f>G51+G32</f>
        <v>58449.45</v>
      </c>
      <c r="H52" s="41">
        <f>H51+H32</f>
        <v>88720.37</v>
      </c>
      <c r="I52" s="41">
        <f>I51+I32</f>
        <v>6990</v>
      </c>
      <c r="J52" s="41">
        <f>J51+J32</f>
        <v>420475.68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8184016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8184016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7925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>
        <v>43296.45</v>
      </c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51221.45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94.19</v>
      </c>
      <c r="G96" s="18"/>
      <c r="H96" s="18"/>
      <c r="I96" s="18"/>
      <c r="J96" s="18">
        <v>13377.87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155737.99+3645.35+6131.95</f>
        <v>165515.29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f>15801.12-5678.93</f>
        <v>10122.19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77699.199999999997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5465.5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93381.08</v>
      </c>
      <c r="G111" s="41">
        <f>SUM(G96:G110)</f>
        <v>165515.29</v>
      </c>
      <c r="H111" s="41">
        <f>SUM(H96:H110)</f>
        <v>0</v>
      </c>
      <c r="I111" s="41">
        <f>SUM(I96:I110)</f>
        <v>0</v>
      </c>
      <c r="J111" s="41">
        <f>SUM(J96:J110)</f>
        <v>13377.87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8328618.5300000003</v>
      </c>
      <c r="G112" s="41">
        <f>G60+G111</f>
        <v>165515.29</v>
      </c>
      <c r="H112" s="41">
        <f>H60+H79+H94+H111</f>
        <v>0</v>
      </c>
      <c r="I112" s="41">
        <f>I60+I111</f>
        <v>0</v>
      </c>
      <c r="J112" s="41">
        <f>J60+J111</f>
        <v>13377.87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5645971.46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1079958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6725929.46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797013.02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58666.28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>
        <v>67504.3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1392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5551.66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924575.60000000009</v>
      </c>
      <c r="G136" s="41">
        <f>SUM(G123:G135)</f>
        <v>5551.66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7650505.0600000005</v>
      </c>
      <c r="G140" s="41">
        <f>G121+SUM(G136:G137)</f>
        <v>5551.66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f>51712.08+217798.41</f>
        <v>269510.49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14686.56+185982.75+62902.36+21013.68+20933.39</f>
        <v>305518.74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191676.43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99954.76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103291.45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>
        <v>38358.99</v>
      </c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103291.45</v>
      </c>
      <c r="G162" s="41">
        <f>SUM(G150:G161)</f>
        <v>230035.41999999998</v>
      </c>
      <c r="H162" s="41">
        <f>SUM(H150:H161)</f>
        <v>674983.99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103291.45</v>
      </c>
      <c r="G169" s="41">
        <f>G147+G162+SUM(G163:G168)</f>
        <v>230035.41999999998</v>
      </c>
      <c r="H169" s="41">
        <f>H147+H162+SUM(H163:H168)</f>
        <v>674983.99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>
        <v>849722.72</v>
      </c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849722.72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2545.67</v>
      </c>
      <c r="H179" s="18"/>
      <c r="I179" s="18"/>
      <c r="J179" s="18">
        <v>85000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>
        <v>39899.01</v>
      </c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39899.01</v>
      </c>
      <c r="G183" s="41">
        <f>SUM(G179:G182)</f>
        <v>2545.67</v>
      </c>
      <c r="H183" s="41">
        <f>SUM(H179:H182)</f>
        <v>0</v>
      </c>
      <c r="I183" s="41">
        <f>SUM(I179:I182)</f>
        <v>0</v>
      </c>
      <c r="J183" s="41">
        <f>SUM(J179:J182)</f>
        <v>85000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889621.73</v>
      </c>
      <c r="G192" s="41">
        <f>G183+SUM(G188:G191)</f>
        <v>2545.67</v>
      </c>
      <c r="H192" s="41">
        <f>+H183+SUM(H188:H191)</f>
        <v>0</v>
      </c>
      <c r="I192" s="41">
        <f>I177+I183+SUM(I188:I191)</f>
        <v>0</v>
      </c>
      <c r="J192" s="41">
        <f>J183</f>
        <v>85000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16972036.77</v>
      </c>
      <c r="G193" s="47">
        <f>G112+G140+G169+G192</f>
        <v>403648.04</v>
      </c>
      <c r="H193" s="47">
        <f>H112+H140+H169+H192</f>
        <v>674983.99</v>
      </c>
      <c r="I193" s="47">
        <f>I112+I140+I169+I192</f>
        <v>0</v>
      </c>
      <c r="J193" s="47">
        <f>J112+J140+J192</f>
        <v>98377.87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1236648.76</v>
      </c>
      <c r="G197" s="18">
        <v>653629.99</v>
      </c>
      <c r="H197" s="18">
        <v>16216.3</v>
      </c>
      <c r="I197" s="18">
        <v>182920.58</v>
      </c>
      <c r="J197" s="18">
        <v>4381.05</v>
      </c>
      <c r="K197" s="18"/>
      <c r="L197" s="19">
        <f>SUM(F197:K197)</f>
        <v>2093796.6800000002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263194.06</v>
      </c>
      <c r="G198" s="18">
        <v>120211.1</v>
      </c>
      <c r="H198" s="18">
        <v>136518.68</v>
      </c>
      <c r="I198" s="18">
        <v>721.08</v>
      </c>
      <c r="J198" s="18"/>
      <c r="K198" s="18"/>
      <c r="L198" s="19">
        <f>SUM(F198:K198)</f>
        <v>520644.92000000004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1553</v>
      </c>
      <c r="G200" s="18">
        <v>3189.1</v>
      </c>
      <c r="H200" s="18"/>
      <c r="I200" s="18">
        <v>0</v>
      </c>
      <c r="J200" s="18"/>
      <c r="K200" s="18"/>
      <c r="L200" s="19">
        <f>SUM(F200:K200)</f>
        <v>4742.1000000000004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235574.66</v>
      </c>
      <c r="G202" s="18">
        <v>99529.98</v>
      </c>
      <c r="H202" s="18">
        <v>38122.06</v>
      </c>
      <c r="I202" s="18">
        <v>3622.32</v>
      </c>
      <c r="J202" s="18"/>
      <c r="K202" s="18">
        <v>299</v>
      </c>
      <c r="L202" s="19">
        <f t="shared" ref="L202:L208" si="0">SUM(F202:K202)</f>
        <v>377148.02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4095</v>
      </c>
      <c r="G203" s="18">
        <v>22909.96</v>
      </c>
      <c r="H203" s="18">
        <v>98.71</v>
      </c>
      <c r="I203" s="18">
        <v>9622.9599999999991</v>
      </c>
      <c r="J203" s="18"/>
      <c r="K203" s="18"/>
      <c r="L203" s="19">
        <f t="shared" si="0"/>
        <v>36726.629999999997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f>3388.56+117926.27</f>
        <v>121314.83</v>
      </c>
      <c r="G204" s="18">
        <f>297.13+53795.43</f>
        <v>54092.56</v>
      </c>
      <c r="H204" s="18">
        <f>29081.51+13014.92</f>
        <v>42096.43</v>
      </c>
      <c r="I204" s="18">
        <f>598.63+1174.5</f>
        <v>1773.13</v>
      </c>
      <c r="J204" s="18">
        <v>670.61</v>
      </c>
      <c r="K204" s="18">
        <f>2657.41+1126.12</f>
        <v>3783.5299999999997</v>
      </c>
      <c r="L204" s="19">
        <f t="shared" si="0"/>
        <v>223731.09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211153.29</v>
      </c>
      <c r="G205" s="18">
        <v>103128.5</v>
      </c>
      <c r="H205" s="18">
        <v>17366.28</v>
      </c>
      <c r="I205" s="18">
        <v>3341.04</v>
      </c>
      <c r="J205" s="18"/>
      <c r="K205" s="18">
        <v>1808.38</v>
      </c>
      <c r="L205" s="19">
        <f t="shared" si="0"/>
        <v>336797.49000000005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>
        <v>58179.47</v>
      </c>
      <c r="G206" s="18">
        <v>27839.85</v>
      </c>
      <c r="H206" s="18">
        <v>11990.57</v>
      </c>
      <c r="I206" s="18">
        <v>4413.1400000000003</v>
      </c>
      <c r="J206" s="18"/>
      <c r="K206" s="18">
        <v>1039.3900000000001</v>
      </c>
      <c r="L206" s="19">
        <f t="shared" si="0"/>
        <v>103462.42000000001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169850.5</v>
      </c>
      <c r="G207" s="18">
        <v>114572.72</v>
      </c>
      <c r="H207" s="18">
        <v>75134.850000000006</v>
      </c>
      <c r="I207" s="18">
        <f>101924.64+1000</f>
        <v>102924.64</v>
      </c>
      <c r="J207" s="18">
        <v>279.32</v>
      </c>
      <c r="K207" s="18">
        <v>0</v>
      </c>
      <c r="L207" s="19">
        <f t="shared" si="0"/>
        <v>462762.02999999997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241068.44</v>
      </c>
      <c r="I208" s="18"/>
      <c r="J208" s="18"/>
      <c r="K208" s="18"/>
      <c r="L208" s="19">
        <f t="shared" si="0"/>
        <v>241068.44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v>40620.61</v>
      </c>
      <c r="G209" s="18">
        <v>21360.97</v>
      </c>
      <c r="H209" s="18">
        <f>1329.6+2400</f>
        <v>3729.6</v>
      </c>
      <c r="I209" s="18">
        <v>9658</v>
      </c>
      <c r="J209" s="18">
        <v>734.62</v>
      </c>
      <c r="K209" s="18">
        <v>95.47</v>
      </c>
      <c r="L209" s="19">
        <f>SUM(F209:K209)</f>
        <v>76199.27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2342184.1800000002</v>
      </c>
      <c r="G211" s="41">
        <f t="shared" si="1"/>
        <v>1220464.73</v>
      </c>
      <c r="H211" s="41">
        <f t="shared" si="1"/>
        <v>582341.92000000004</v>
      </c>
      <c r="I211" s="41">
        <f t="shared" si="1"/>
        <v>318996.89</v>
      </c>
      <c r="J211" s="41">
        <f t="shared" si="1"/>
        <v>6065.5999999999995</v>
      </c>
      <c r="K211" s="41">
        <f t="shared" si="1"/>
        <v>7025.77</v>
      </c>
      <c r="L211" s="41">
        <f t="shared" si="1"/>
        <v>4477079.09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v>1189489.18</v>
      </c>
      <c r="G215" s="18">
        <v>655043.43999999994</v>
      </c>
      <c r="H215" s="18">
        <v>11808.86</v>
      </c>
      <c r="I215" s="18">
        <v>134954.63</v>
      </c>
      <c r="J215" s="18">
        <v>36744.71</v>
      </c>
      <c r="K215" s="18">
        <v>225</v>
      </c>
      <c r="L215" s="19">
        <f>SUM(F215:K215)</f>
        <v>2028265.8199999998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v>188412.9</v>
      </c>
      <c r="G216" s="18">
        <v>92981.51</v>
      </c>
      <c r="H216" s="18">
        <v>71514.66</v>
      </c>
      <c r="I216" s="18">
        <v>98.34</v>
      </c>
      <c r="J216" s="18"/>
      <c r="K216" s="18"/>
      <c r="L216" s="19">
        <f>SUM(F216:K216)</f>
        <v>353007.41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v>20088</v>
      </c>
      <c r="G218" s="18">
        <v>2668.08</v>
      </c>
      <c r="H218" s="18">
        <v>7285.5</v>
      </c>
      <c r="I218" s="18">
        <v>3745</v>
      </c>
      <c r="J218" s="18">
        <v>2100</v>
      </c>
      <c r="K218" s="18">
        <v>983</v>
      </c>
      <c r="L218" s="19">
        <f>SUM(F218:K218)</f>
        <v>36869.58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v>166300.88</v>
      </c>
      <c r="G220" s="18">
        <v>100597.35</v>
      </c>
      <c r="H220" s="18">
        <v>1136.0899999999999</v>
      </c>
      <c r="I220" s="18">
        <v>1394.54</v>
      </c>
      <c r="J220" s="18"/>
      <c r="K220" s="18">
        <v>566</v>
      </c>
      <c r="L220" s="19">
        <f t="shared" ref="L220:L226" si="2">SUM(F220:K220)</f>
        <v>269994.86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v>24067.5</v>
      </c>
      <c r="G221" s="18">
        <v>30829.7</v>
      </c>
      <c r="H221" s="18">
        <v>200.57</v>
      </c>
      <c r="I221" s="18">
        <v>10180.4</v>
      </c>
      <c r="J221" s="18">
        <v>269.99</v>
      </c>
      <c r="K221" s="18"/>
      <c r="L221" s="19">
        <f t="shared" si="2"/>
        <v>65548.160000000003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f>3388.67+117926.27</f>
        <v>121314.94</v>
      </c>
      <c r="G222" s="18">
        <f>297.14+53795.43</f>
        <v>54092.57</v>
      </c>
      <c r="H222" s="18">
        <f>28952.99+13014.92</f>
        <v>41967.91</v>
      </c>
      <c r="I222" s="18">
        <f>598.63+1174.5</f>
        <v>1773.13</v>
      </c>
      <c r="J222" s="18">
        <v>670.61</v>
      </c>
      <c r="K222" s="18">
        <f>2629.65+1126.13</f>
        <v>3755.78</v>
      </c>
      <c r="L222" s="19">
        <f t="shared" si="2"/>
        <v>223574.94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v>198644.39</v>
      </c>
      <c r="G223" s="18">
        <v>115833.62</v>
      </c>
      <c r="H223" s="18">
        <v>12392.55</v>
      </c>
      <c r="I223" s="18">
        <v>5119.43</v>
      </c>
      <c r="J223" s="18">
        <v>458</v>
      </c>
      <c r="K223" s="18">
        <v>1731.28</v>
      </c>
      <c r="L223" s="19">
        <f t="shared" si="2"/>
        <v>334179.27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>
        <v>58179.47</v>
      </c>
      <c r="G224" s="18">
        <v>27839.85</v>
      </c>
      <c r="H224" s="18">
        <v>11990.57</v>
      </c>
      <c r="I224" s="18">
        <v>4413.1400000000003</v>
      </c>
      <c r="J224" s="18"/>
      <c r="K224" s="18">
        <v>1039.3900000000001</v>
      </c>
      <c r="L224" s="19">
        <f t="shared" si="2"/>
        <v>103462.42000000001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v>132684.06</v>
      </c>
      <c r="G225" s="18">
        <v>97205.29</v>
      </c>
      <c r="H225" s="18">
        <v>86661.94</v>
      </c>
      <c r="I225" s="18">
        <f>72061.29+1000</f>
        <v>73061.289999999994</v>
      </c>
      <c r="J225" s="18">
        <v>8497.99</v>
      </c>
      <c r="K225" s="18"/>
      <c r="L225" s="19">
        <f t="shared" si="2"/>
        <v>398110.56999999995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188612.3</v>
      </c>
      <c r="I226" s="18"/>
      <c r="J226" s="18"/>
      <c r="K226" s="18"/>
      <c r="L226" s="19">
        <f t="shared" si="2"/>
        <v>188612.3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>
        <v>46816.41</v>
      </c>
      <c r="G227" s="18">
        <v>24704.33</v>
      </c>
      <c r="H227" s="18">
        <f>13613.86+2400</f>
        <v>16013.86</v>
      </c>
      <c r="I227" s="18">
        <v>9510</v>
      </c>
      <c r="J227" s="18">
        <v>734.62</v>
      </c>
      <c r="K227" s="18">
        <v>444.47</v>
      </c>
      <c r="L227" s="19">
        <f>SUM(F227:K227)</f>
        <v>98223.69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2145997.73</v>
      </c>
      <c r="G229" s="41">
        <f>SUM(G215:G228)</f>
        <v>1201795.74</v>
      </c>
      <c r="H229" s="41">
        <f>SUM(H215:H228)</f>
        <v>449584.81</v>
      </c>
      <c r="I229" s="41">
        <f>SUM(I215:I228)</f>
        <v>244249.90000000002</v>
      </c>
      <c r="J229" s="41">
        <f>SUM(J215:J228)</f>
        <v>49475.92</v>
      </c>
      <c r="K229" s="41">
        <f t="shared" si="3"/>
        <v>8744.92</v>
      </c>
      <c r="L229" s="41">
        <f t="shared" si="3"/>
        <v>4099849.0199999996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v>1577785.38</v>
      </c>
      <c r="G233" s="18">
        <v>830972.13</v>
      </c>
      <c r="H233" s="18">
        <v>8818.17</v>
      </c>
      <c r="I233" s="18">
        <v>96201.75</v>
      </c>
      <c r="J233" s="18">
        <v>34876.129999999997</v>
      </c>
      <c r="K233" s="18">
        <v>1275</v>
      </c>
      <c r="L233" s="19">
        <f>SUM(F233:K233)</f>
        <v>2549928.5599999996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274167.07</v>
      </c>
      <c r="G234" s="18">
        <v>120627.76</v>
      </c>
      <c r="H234" s="18">
        <f>83980.08-1</f>
        <v>83979.08</v>
      </c>
      <c r="I234" s="18">
        <v>364.82</v>
      </c>
      <c r="J234" s="18">
        <v>44.19</v>
      </c>
      <c r="K234" s="18">
        <v>105</v>
      </c>
      <c r="L234" s="19">
        <f>SUM(F234:K234)</f>
        <v>479287.92000000004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>
        <v>93038.17</v>
      </c>
      <c r="G235" s="18">
        <v>42359.11</v>
      </c>
      <c r="H235" s="18">
        <v>6487.21</v>
      </c>
      <c r="I235" s="18">
        <v>4820.58</v>
      </c>
      <c r="J235" s="18">
        <v>3106.71</v>
      </c>
      <c r="K235" s="18">
        <v>1049.75</v>
      </c>
      <c r="L235" s="19">
        <f>SUM(F235:K235)</f>
        <v>150861.52999999997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69020</v>
      </c>
      <c r="G236" s="18">
        <v>8207.65</v>
      </c>
      <c r="H236" s="18">
        <v>23439.07</v>
      </c>
      <c r="I236" s="18">
        <v>5126.1499999999996</v>
      </c>
      <c r="J236" s="18">
        <v>13030.34</v>
      </c>
      <c r="K236" s="18">
        <v>8975</v>
      </c>
      <c r="L236" s="19">
        <f>SUM(F236:K236)</f>
        <v>127798.20999999999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f>266422.21+24602.5</f>
        <v>291024.71000000002</v>
      </c>
      <c r="G238" s="18">
        <f>119277.15+229.04</f>
        <v>119506.18999999999</v>
      </c>
      <c r="H238" s="18">
        <v>23011.87</v>
      </c>
      <c r="I238" s="18">
        <f>8980.4+1148.35-12+70</f>
        <v>10186.75</v>
      </c>
      <c r="J238" s="18">
        <f>1173.73+869.53</f>
        <v>2043.26</v>
      </c>
      <c r="K238" s="18">
        <v>548</v>
      </c>
      <c r="L238" s="19">
        <f t="shared" ref="L238:L244" si="4">SUM(F238:K238)</f>
        <v>446320.78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54876</v>
      </c>
      <c r="G239" s="18">
        <v>46358.71</v>
      </c>
      <c r="H239" s="18">
        <v>219.31</v>
      </c>
      <c r="I239" s="18">
        <v>10748.33</v>
      </c>
      <c r="J239" s="18">
        <v>3199.96</v>
      </c>
      <c r="K239" s="18"/>
      <c r="L239" s="19">
        <f t="shared" si="4"/>
        <v>115402.31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f>3455.8+117926.28</f>
        <v>121382.08</v>
      </c>
      <c r="G240" s="18">
        <f>302.98+53795.43</f>
        <v>54098.41</v>
      </c>
      <c r="H240" s="18">
        <f>29272.95+13014.91</f>
        <v>42287.86</v>
      </c>
      <c r="I240" s="18">
        <f>599.63+1174.5</f>
        <v>1774.13</v>
      </c>
      <c r="J240" s="18">
        <v>670.62</v>
      </c>
      <c r="K240" s="18">
        <f>3264.21+1126.13</f>
        <v>4390.34</v>
      </c>
      <c r="L240" s="19">
        <f t="shared" si="4"/>
        <v>224603.43999999997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259520.82</v>
      </c>
      <c r="G241" s="18">
        <v>109658.72</v>
      </c>
      <c r="H241" s="18">
        <v>24909.81</v>
      </c>
      <c r="I241" s="18">
        <v>6330.18</v>
      </c>
      <c r="J241" s="18">
        <v>231.99</v>
      </c>
      <c r="K241" s="18">
        <v>8635.66</v>
      </c>
      <c r="L241" s="19">
        <f t="shared" si="4"/>
        <v>409287.18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>
        <v>58179.47</v>
      </c>
      <c r="G242" s="18">
        <v>27839.85</v>
      </c>
      <c r="H242" s="18">
        <v>11990.57</v>
      </c>
      <c r="I242" s="18">
        <v>4413.1400000000003</v>
      </c>
      <c r="J242" s="18"/>
      <c r="K242" s="18">
        <v>1039.3900000000001</v>
      </c>
      <c r="L242" s="19">
        <f t="shared" si="4"/>
        <v>103462.42000000001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137056.32999999999</v>
      </c>
      <c r="G243" s="18">
        <v>86297.39</v>
      </c>
      <c r="H243" s="18">
        <v>112655.12</v>
      </c>
      <c r="I243" s="18">
        <f>120087.41-4500</f>
        <v>115587.41</v>
      </c>
      <c r="J243" s="18">
        <v>3522.44</v>
      </c>
      <c r="K243" s="18"/>
      <c r="L243" s="19">
        <f t="shared" si="4"/>
        <v>455118.69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275634.40999999997</v>
      </c>
      <c r="I244" s="18"/>
      <c r="J244" s="18"/>
      <c r="K244" s="18"/>
      <c r="L244" s="19">
        <f t="shared" si="4"/>
        <v>275634.40999999997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>
        <v>78610.98</v>
      </c>
      <c r="G245" s="18">
        <v>41946.07</v>
      </c>
      <c r="H245" s="18">
        <f>15644.56+2400</f>
        <v>18044.559999999998</v>
      </c>
      <c r="I245" s="18">
        <v>9632.9500000000007</v>
      </c>
      <c r="J245" s="18">
        <v>904.12</v>
      </c>
      <c r="K245" s="18">
        <v>95.47</v>
      </c>
      <c r="L245" s="19">
        <f>SUM(F245:K245)</f>
        <v>149234.15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3014661.0100000002</v>
      </c>
      <c r="G247" s="41">
        <f t="shared" si="5"/>
        <v>1487871.99</v>
      </c>
      <c r="H247" s="41">
        <f t="shared" si="5"/>
        <v>631477.04</v>
      </c>
      <c r="I247" s="41">
        <f t="shared" si="5"/>
        <v>265186.19</v>
      </c>
      <c r="J247" s="41">
        <f t="shared" si="5"/>
        <v>61629.760000000002</v>
      </c>
      <c r="K247" s="41">
        <f t="shared" si="5"/>
        <v>26113.61</v>
      </c>
      <c r="L247" s="41">
        <f t="shared" si="5"/>
        <v>5486939.5999999996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7502842.9199999999</v>
      </c>
      <c r="G257" s="41">
        <f t="shared" si="8"/>
        <v>3910132.46</v>
      </c>
      <c r="H257" s="41">
        <f t="shared" si="8"/>
        <v>1663403.77</v>
      </c>
      <c r="I257" s="41">
        <f t="shared" si="8"/>
        <v>828432.98</v>
      </c>
      <c r="J257" s="41">
        <f t="shared" si="8"/>
        <v>117171.28</v>
      </c>
      <c r="K257" s="41">
        <f t="shared" si="8"/>
        <v>41884.300000000003</v>
      </c>
      <c r="L257" s="41">
        <f t="shared" si="8"/>
        <v>14063867.709999999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1475000</v>
      </c>
      <c r="L260" s="19">
        <f>SUM(F260:K260)</f>
        <v>1475000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914278.75</v>
      </c>
      <c r="L261" s="19">
        <f>SUM(F261:K261)</f>
        <v>914278.75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2545.67</v>
      </c>
      <c r="L263" s="19">
        <f>SUM(F263:K263)</f>
        <v>2545.67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>
        <v>0</v>
      </c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85000</v>
      </c>
      <c r="L266" s="19">
        <f t="shared" si="9"/>
        <v>85000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2476824.42</v>
      </c>
      <c r="L270" s="41">
        <f t="shared" si="9"/>
        <v>2476824.42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7502842.9199999999</v>
      </c>
      <c r="G271" s="42">
        <f t="shared" si="11"/>
        <v>3910132.46</v>
      </c>
      <c r="H271" s="42">
        <f t="shared" si="11"/>
        <v>1663403.77</v>
      </c>
      <c r="I271" s="42">
        <f t="shared" si="11"/>
        <v>828432.98</v>
      </c>
      <c r="J271" s="42">
        <f t="shared" si="11"/>
        <v>117171.28</v>
      </c>
      <c r="K271" s="42">
        <f t="shared" si="11"/>
        <v>2518708.7199999997</v>
      </c>
      <c r="L271" s="42">
        <f t="shared" si="11"/>
        <v>16540692.129999999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78871</v>
      </c>
      <c r="G276" s="18">
        <v>29144.27</v>
      </c>
      <c r="H276" s="18"/>
      <c r="I276" s="18">
        <v>6402.39</v>
      </c>
      <c r="J276" s="18">
        <v>1838</v>
      </c>
      <c r="K276" s="18"/>
      <c r="L276" s="19">
        <f>SUM(F276:K276)</f>
        <v>116255.66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f>142412.72</f>
        <v>142412.72</v>
      </c>
      <c r="G277" s="18">
        <v>69440.509999999995</v>
      </c>
      <c r="H277" s="18">
        <v>2673.75</v>
      </c>
      <c r="I277" s="18">
        <v>8210.52</v>
      </c>
      <c r="J277" s="18">
        <v>12597.86</v>
      </c>
      <c r="K277" s="18"/>
      <c r="L277" s="19">
        <f>SUM(F277:K277)</f>
        <v>235335.36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>
        <v>20</v>
      </c>
      <c r="J279" s="18"/>
      <c r="K279" s="18"/>
      <c r="L279" s="19">
        <f>SUM(F279:K279)</f>
        <v>20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71587.5</v>
      </c>
      <c r="G282" s="18">
        <v>15310.51</v>
      </c>
      <c r="H282" s="18">
        <v>31182.16</v>
      </c>
      <c r="I282" s="18">
        <v>189.9</v>
      </c>
      <c r="J282" s="18"/>
      <c r="K282" s="18"/>
      <c r="L282" s="19">
        <f t="shared" si="12"/>
        <v>118270.06999999999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292871.21999999997</v>
      </c>
      <c r="G290" s="42">
        <f t="shared" si="13"/>
        <v>113895.29</v>
      </c>
      <c r="H290" s="42">
        <f t="shared" si="13"/>
        <v>33855.910000000003</v>
      </c>
      <c r="I290" s="42">
        <f t="shared" si="13"/>
        <v>14822.81</v>
      </c>
      <c r="J290" s="42">
        <f t="shared" si="13"/>
        <v>14435.86</v>
      </c>
      <c r="K290" s="42">
        <f t="shared" si="13"/>
        <v>0</v>
      </c>
      <c r="L290" s="41">
        <f t="shared" si="13"/>
        <v>469881.09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>
        <v>73199.69</v>
      </c>
      <c r="G295" s="18">
        <v>48204.77</v>
      </c>
      <c r="H295" s="18"/>
      <c r="I295" s="18">
        <v>1082.5999999999999</v>
      </c>
      <c r="J295" s="18">
        <v>1838</v>
      </c>
      <c r="K295" s="18"/>
      <c r="L295" s="19">
        <f>SUM(F295:K295)</f>
        <v>124325.06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73199.69</v>
      </c>
      <c r="G309" s="42">
        <f t="shared" si="15"/>
        <v>48204.77</v>
      </c>
      <c r="H309" s="42">
        <f t="shared" si="15"/>
        <v>0</v>
      </c>
      <c r="I309" s="42">
        <f t="shared" si="15"/>
        <v>1082.5999999999999</v>
      </c>
      <c r="J309" s="42">
        <f t="shared" si="15"/>
        <v>1838</v>
      </c>
      <c r="K309" s="42">
        <f t="shared" si="15"/>
        <v>0</v>
      </c>
      <c r="L309" s="41">
        <f t="shared" si="15"/>
        <v>124325.06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366070.91</v>
      </c>
      <c r="G338" s="41">
        <f t="shared" si="20"/>
        <v>162100.06</v>
      </c>
      <c r="H338" s="41">
        <f t="shared" si="20"/>
        <v>33855.910000000003</v>
      </c>
      <c r="I338" s="41">
        <f t="shared" si="20"/>
        <v>15905.41</v>
      </c>
      <c r="J338" s="41">
        <f t="shared" si="20"/>
        <v>16273.86</v>
      </c>
      <c r="K338" s="41">
        <f t="shared" si="20"/>
        <v>0</v>
      </c>
      <c r="L338" s="41">
        <f t="shared" si="20"/>
        <v>594206.15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>
        <v>39866.160000000003</v>
      </c>
      <c r="L344" s="19">
        <f t="shared" ref="L344:L350" si="21">SUM(F344:K344)</f>
        <v>39866.160000000003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>
        <v>0</v>
      </c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39866.160000000003</v>
      </c>
      <c r="L351" s="41">
        <f>SUM(L341:L350)</f>
        <v>39866.160000000003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366070.91</v>
      </c>
      <c r="G352" s="41">
        <f>G338</f>
        <v>162100.06</v>
      </c>
      <c r="H352" s="41">
        <f>H338</f>
        <v>33855.910000000003</v>
      </c>
      <c r="I352" s="41">
        <f>I338</f>
        <v>15905.41</v>
      </c>
      <c r="J352" s="41">
        <f>J338</f>
        <v>16273.86</v>
      </c>
      <c r="K352" s="47">
        <f>K338+K351</f>
        <v>39866.160000000003</v>
      </c>
      <c r="L352" s="41">
        <f>L338+L351</f>
        <v>634072.31000000006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/>
      <c r="G358" s="18"/>
      <c r="H358" s="18">
        <f>132130.67+1630.42</f>
        <v>133761.09000000003</v>
      </c>
      <c r="I358" s="18">
        <v>680</v>
      </c>
      <c r="J358" s="18"/>
      <c r="K358" s="18"/>
      <c r="L358" s="13">
        <f>SUM(F358:K358)</f>
        <v>134441.09000000003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>
        <f>132130.66+1630.42</f>
        <v>133761.08000000002</v>
      </c>
      <c r="I359" s="18">
        <f>680+324.77</f>
        <v>1004.77</v>
      </c>
      <c r="J359" s="18"/>
      <c r="K359" s="18"/>
      <c r="L359" s="19">
        <f>SUM(F359:K359)</f>
        <v>134765.85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>
        <f>132130.67+1630.43</f>
        <v>133761.1</v>
      </c>
      <c r="I360" s="18">
        <v>680</v>
      </c>
      <c r="J360" s="18"/>
      <c r="K360" s="18"/>
      <c r="L360" s="19">
        <f>SUM(F360:K360)</f>
        <v>134441.1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401283.27</v>
      </c>
      <c r="I362" s="47">
        <f t="shared" si="22"/>
        <v>2364.77</v>
      </c>
      <c r="J362" s="47">
        <f t="shared" si="22"/>
        <v>0</v>
      </c>
      <c r="K362" s="47">
        <f t="shared" si="22"/>
        <v>0</v>
      </c>
      <c r="L362" s="47">
        <f t="shared" si="22"/>
        <v>403648.04000000004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/>
      <c r="G367" s="18"/>
      <c r="H367" s="18"/>
      <c r="I367" s="56">
        <f>SUM(F367:H367)</f>
        <v>0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680</v>
      </c>
      <c r="G368" s="63">
        <v>1004.77</v>
      </c>
      <c r="H368" s="63">
        <v>680</v>
      </c>
      <c r="I368" s="56">
        <f>SUM(F368:H368)</f>
        <v>2364.77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680</v>
      </c>
      <c r="G369" s="47">
        <f>SUM(G367:G368)</f>
        <v>1004.77</v>
      </c>
      <c r="H369" s="47">
        <f>SUM(H367:H368)</f>
        <v>680</v>
      </c>
      <c r="I369" s="47">
        <f>SUM(I367:I368)</f>
        <v>2364.77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35000</v>
      </c>
      <c r="H396" s="18">
        <v>6603.11</v>
      </c>
      <c r="I396" s="18"/>
      <c r="J396" s="24" t="s">
        <v>289</v>
      </c>
      <c r="K396" s="24" t="s">
        <v>289</v>
      </c>
      <c r="L396" s="56">
        <f t="shared" si="26"/>
        <v>41603.11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50000</v>
      </c>
      <c r="H397" s="18">
        <v>6774.76</v>
      </c>
      <c r="I397" s="18"/>
      <c r="J397" s="24" t="s">
        <v>289</v>
      </c>
      <c r="K397" s="24" t="s">
        <v>289</v>
      </c>
      <c r="L397" s="56">
        <f t="shared" si="26"/>
        <v>56774.76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85000</v>
      </c>
      <c r="H401" s="47">
        <f>SUM(H395:H400)</f>
        <v>13377.869999999999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98377.87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85000</v>
      </c>
      <c r="H408" s="47">
        <f>H393+H401+H407</f>
        <v>13377.869999999999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98377.87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>
        <v>35000</v>
      </c>
      <c r="L422" s="56">
        <f t="shared" si="29"/>
        <v>35000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>
        <v>50000</v>
      </c>
      <c r="L423" s="56">
        <f t="shared" si="29"/>
        <v>50000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85000</v>
      </c>
      <c r="L427" s="47">
        <f t="shared" si="30"/>
        <v>85000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85000</v>
      </c>
      <c r="L434" s="47">
        <f t="shared" si="32"/>
        <v>85000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>
        <v>0</v>
      </c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>
        <v>420475.68</v>
      </c>
      <c r="G442" s="18"/>
      <c r="H442" s="18"/>
      <c r="I442" s="56">
        <f t="shared" si="33"/>
        <v>420475.68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420475.68</v>
      </c>
      <c r="G446" s="13">
        <f>SUM(G439:G445)</f>
        <v>0</v>
      </c>
      <c r="H446" s="13">
        <f>SUM(H439:H445)</f>
        <v>0</v>
      </c>
      <c r="I446" s="13">
        <f>SUM(I439:I445)</f>
        <v>420475.68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f>322097.81+98377.87</f>
        <v>420475.68</v>
      </c>
      <c r="G459" s="18"/>
      <c r="H459" s="18"/>
      <c r="I459" s="56">
        <f t="shared" si="34"/>
        <v>420475.68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420475.68</v>
      </c>
      <c r="G460" s="83">
        <f>SUM(G454:G459)</f>
        <v>0</v>
      </c>
      <c r="H460" s="83">
        <f>SUM(H454:H459)</f>
        <v>0</v>
      </c>
      <c r="I460" s="83">
        <f>SUM(I454:I459)</f>
        <v>420475.68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420475.68</v>
      </c>
      <c r="G461" s="42">
        <f>G452+G460</f>
        <v>0</v>
      </c>
      <c r="H461" s="42">
        <f>H452+H460</f>
        <v>0</v>
      </c>
      <c r="I461" s="42">
        <f>I452+I460</f>
        <v>420475.68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907</v>
      </c>
      <c r="B465" s="105">
        <v>19</v>
      </c>
      <c r="C465" s="111">
        <v>1</v>
      </c>
      <c r="D465" s="2" t="s">
        <v>433</v>
      </c>
      <c r="E465" s="111"/>
      <c r="F465" s="18">
        <f>1192895.58+85000</f>
        <v>1277895.58</v>
      </c>
      <c r="G465" s="18">
        <v>6914.09</v>
      </c>
      <c r="H465" s="18">
        <v>-70484.77</v>
      </c>
      <c r="I465" s="18">
        <v>6990</v>
      </c>
      <c r="J465" s="18">
        <f>322097.81+85000</f>
        <v>407097.81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16972036.77</v>
      </c>
      <c r="G468" s="18">
        <v>403648.04</v>
      </c>
      <c r="H468" s="18">
        <v>674983.99</v>
      </c>
      <c r="I468" s="18"/>
      <c r="J468" s="18">
        <v>98377.87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>
        <v>0</v>
      </c>
      <c r="G469" s="18">
        <v>0</v>
      </c>
      <c r="H469" s="18"/>
      <c r="I469" s="18"/>
      <c r="J469" s="18">
        <v>0</v>
      </c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16972036.77</v>
      </c>
      <c r="G470" s="53">
        <f>SUM(G468:G469)</f>
        <v>403648.04</v>
      </c>
      <c r="H470" s="53">
        <f>SUM(H468:H469)</f>
        <v>674983.99</v>
      </c>
      <c r="I470" s="53">
        <f>SUM(I468:I469)</f>
        <v>0</v>
      </c>
      <c r="J470" s="53">
        <f>SUM(J468:J469)</f>
        <v>98377.87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16455692.13+85000</f>
        <v>16540692.130000001</v>
      </c>
      <c r="G472" s="18">
        <v>403648.04</v>
      </c>
      <c r="H472" s="18">
        <v>634072.31000000006</v>
      </c>
      <c r="I472" s="18"/>
      <c r="J472" s="18">
        <v>85000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16540692.130000001</v>
      </c>
      <c r="G474" s="53">
        <f>SUM(G472:G473)</f>
        <v>403648.04</v>
      </c>
      <c r="H474" s="53">
        <f>SUM(H472:H473)</f>
        <v>634072.31000000006</v>
      </c>
      <c r="I474" s="53">
        <f>SUM(I472:I473)</f>
        <v>0</v>
      </c>
      <c r="J474" s="53">
        <f>SUM(J472:J473)</f>
        <v>85000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1709240.2200000007</v>
      </c>
      <c r="G476" s="53">
        <f>(G465+G470)- G474</f>
        <v>6914.0900000000256</v>
      </c>
      <c r="H476" s="53">
        <f>(H465+H470)- H474</f>
        <v>-29573.090000000084</v>
      </c>
      <c r="I476" s="53">
        <f>(I465+I470)- I474</f>
        <v>6990</v>
      </c>
      <c r="J476" s="53">
        <f>(J465+J470)- J474</f>
        <v>420475.68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16</v>
      </c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912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913</v>
      </c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23623315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5.39</v>
      </c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17700000</v>
      </c>
      <c r="G495" s="18"/>
      <c r="H495" s="18"/>
      <c r="I495" s="18"/>
      <c r="J495" s="18"/>
      <c r="K495" s="53">
        <f>SUM(F495:J495)</f>
        <v>17700000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1475000</v>
      </c>
      <c r="G497" s="18"/>
      <c r="H497" s="18"/>
      <c r="I497" s="18"/>
      <c r="J497" s="18"/>
      <c r="K497" s="53">
        <f t="shared" si="35"/>
        <v>1475000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16225000</v>
      </c>
      <c r="G498" s="204"/>
      <c r="H498" s="204"/>
      <c r="I498" s="204"/>
      <c r="J498" s="204"/>
      <c r="K498" s="205">
        <f t="shared" si="35"/>
        <v>16225000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4809904.25</v>
      </c>
      <c r="G499" s="18"/>
      <c r="H499" s="18"/>
      <c r="I499" s="18"/>
      <c r="J499" s="18"/>
      <c r="K499" s="53">
        <f t="shared" si="35"/>
        <v>4809904.25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21034904.25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21034904.25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1475000</v>
      </c>
      <c r="G501" s="204"/>
      <c r="H501" s="204"/>
      <c r="I501" s="204"/>
      <c r="J501" s="204"/>
      <c r="K501" s="205">
        <f t="shared" si="35"/>
        <v>1475000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834776.25</v>
      </c>
      <c r="G502" s="18"/>
      <c r="H502" s="18"/>
      <c r="I502" s="18"/>
      <c r="J502" s="18"/>
      <c r="K502" s="53">
        <f t="shared" si="35"/>
        <v>834776.25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2309776.25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2309776.25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405606.78</v>
      </c>
      <c r="G521" s="18">
        <v>189651.61</v>
      </c>
      <c r="H521" s="18">
        <v>139192.43</v>
      </c>
      <c r="I521" s="18">
        <v>8931.6</v>
      </c>
      <c r="J521" s="18">
        <v>12597.86</v>
      </c>
      <c r="K521" s="18"/>
      <c r="L521" s="88">
        <f>SUM(F521:K521)</f>
        <v>755980.28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188412.9</v>
      </c>
      <c r="G522" s="18">
        <v>92981.51</v>
      </c>
      <c r="H522" s="18">
        <v>71514.66</v>
      </c>
      <c r="I522" s="18">
        <v>98.34</v>
      </c>
      <c r="J522" s="18"/>
      <c r="K522" s="18"/>
      <c r="L522" s="88">
        <f>SUM(F522:K522)</f>
        <v>353007.41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274167.07</v>
      </c>
      <c r="G523" s="18">
        <v>120626.76</v>
      </c>
      <c r="H523" s="18">
        <v>83980.08</v>
      </c>
      <c r="I523" s="18">
        <v>364.82</v>
      </c>
      <c r="J523" s="18">
        <v>44.19</v>
      </c>
      <c r="K523" s="18">
        <v>105</v>
      </c>
      <c r="L523" s="88">
        <f>SUM(F523:K523)</f>
        <v>479287.92000000004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868186.75</v>
      </c>
      <c r="G524" s="108">
        <f t="shared" ref="G524:L524" si="36">SUM(G521:G523)</f>
        <v>403259.88</v>
      </c>
      <c r="H524" s="108">
        <f t="shared" si="36"/>
        <v>294687.17</v>
      </c>
      <c r="I524" s="108">
        <f t="shared" si="36"/>
        <v>9394.76</v>
      </c>
      <c r="J524" s="108">
        <f t="shared" si="36"/>
        <v>12642.050000000001</v>
      </c>
      <c r="K524" s="108">
        <f t="shared" si="36"/>
        <v>105</v>
      </c>
      <c r="L524" s="89">
        <f t="shared" si="36"/>
        <v>1588275.6099999999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260177.16</v>
      </c>
      <c r="G526" s="18">
        <v>101829.02</v>
      </c>
      <c r="H526" s="18">
        <v>38122.06</v>
      </c>
      <c r="I526" s="18">
        <v>4770.67</v>
      </c>
      <c r="J526" s="18">
        <v>869.53</v>
      </c>
      <c r="K526" s="18">
        <v>299</v>
      </c>
      <c r="L526" s="88">
        <f>SUM(F526:K526)</f>
        <v>406067.44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v>166300.88</v>
      </c>
      <c r="G527" s="18">
        <v>100597.35</v>
      </c>
      <c r="H527" s="18">
        <v>1136.0899999999999</v>
      </c>
      <c r="I527" s="18">
        <v>1394.54</v>
      </c>
      <c r="J527" s="18"/>
      <c r="K527" s="18">
        <v>566</v>
      </c>
      <c r="L527" s="88">
        <f>SUM(F527:K527)</f>
        <v>269994.86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v>266422.21000000002</v>
      </c>
      <c r="G528" s="18">
        <v>119277.15</v>
      </c>
      <c r="H528" s="18">
        <v>23011.87</v>
      </c>
      <c r="I528" s="18">
        <v>8980.4</v>
      </c>
      <c r="J528" s="18">
        <v>1173.73</v>
      </c>
      <c r="K528" s="18">
        <v>548</v>
      </c>
      <c r="L528" s="88">
        <f>SUM(F528:K528)</f>
        <v>419413.36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692900.25</v>
      </c>
      <c r="G529" s="89">
        <f t="shared" ref="G529:L529" si="37">SUM(G526:G528)</f>
        <v>321703.52</v>
      </c>
      <c r="H529" s="89">
        <f t="shared" si="37"/>
        <v>62270.01999999999</v>
      </c>
      <c r="I529" s="89">
        <f t="shared" si="37"/>
        <v>15145.61</v>
      </c>
      <c r="J529" s="89">
        <f t="shared" si="37"/>
        <v>2043.26</v>
      </c>
      <c r="K529" s="89">
        <f t="shared" si="37"/>
        <v>1413</v>
      </c>
      <c r="L529" s="89">
        <f t="shared" si="37"/>
        <v>1095475.6600000001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62994.81</v>
      </c>
      <c r="G531" s="18">
        <v>24707.15</v>
      </c>
      <c r="H531" s="18">
        <v>6353.61</v>
      </c>
      <c r="I531" s="18">
        <v>575.91999999999996</v>
      </c>
      <c r="J531" s="18">
        <v>57.75</v>
      </c>
      <c r="K531" s="18">
        <v>516.59</v>
      </c>
      <c r="L531" s="88">
        <f>SUM(F531:K531)</f>
        <v>95205.829999999987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62994.81</v>
      </c>
      <c r="G532" s="18">
        <v>24707.15</v>
      </c>
      <c r="H532" s="18">
        <v>6353.61</v>
      </c>
      <c r="I532" s="18">
        <v>575.91999999999996</v>
      </c>
      <c r="J532" s="18">
        <v>57.75</v>
      </c>
      <c r="K532" s="18">
        <v>516.59</v>
      </c>
      <c r="L532" s="88">
        <f>SUM(F532:K532)</f>
        <v>95205.829999999987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62994.82</v>
      </c>
      <c r="G533" s="18">
        <v>24707.15</v>
      </c>
      <c r="H533" s="18">
        <v>6353.61</v>
      </c>
      <c r="I533" s="18">
        <v>575.92999999999995</v>
      </c>
      <c r="J533" s="18">
        <v>57.75</v>
      </c>
      <c r="K533" s="18">
        <v>516.6</v>
      </c>
      <c r="L533" s="88">
        <f>SUM(F533:K533)</f>
        <v>95205.86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188984.44</v>
      </c>
      <c r="G534" s="89">
        <f t="shared" ref="G534:L534" si="38">SUM(G531:G533)</f>
        <v>74121.450000000012</v>
      </c>
      <c r="H534" s="89">
        <f t="shared" si="38"/>
        <v>19060.829999999998</v>
      </c>
      <c r="I534" s="89">
        <f t="shared" si="38"/>
        <v>1727.77</v>
      </c>
      <c r="J534" s="89">
        <f t="shared" si="38"/>
        <v>173.25</v>
      </c>
      <c r="K534" s="89">
        <f t="shared" si="38"/>
        <v>1549.7800000000002</v>
      </c>
      <c r="L534" s="89">
        <f t="shared" si="38"/>
        <v>285617.51999999996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86643.92</v>
      </c>
      <c r="I541" s="18"/>
      <c r="J541" s="18"/>
      <c r="K541" s="18"/>
      <c r="L541" s="88">
        <f>SUM(F541:K541)</f>
        <v>86643.92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23852.01</v>
      </c>
      <c r="I542" s="18"/>
      <c r="J542" s="18"/>
      <c r="K542" s="18"/>
      <c r="L542" s="88">
        <f>SUM(F542:K542)</f>
        <v>23852.01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54778.33</v>
      </c>
      <c r="I543" s="18"/>
      <c r="J543" s="18"/>
      <c r="K543" s="18"/>
      <c r="L543" s="88">
        <f>SUM(F543:K543)</f>
        <v>54778.33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165274.26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165274.26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1750071.44</v>
      </c>
      <c r="G545" s="89">
        <f t="shared" ref="G545:L545" si="41">G524+G529+G534+G539+G544</f>
        <v>799084.85000000009</v>
      </c>
      <c r="H545" s="89">
        <f t="shared" si="41"/>
        <v>541292.28</v>
      </c>
      <c r="I545" s="89">
        <f t="shared" si="41"/>
        <v>26268.140000000003</v>
      </c>
      <c r="J545" s="89">
        <f t="shared" si="41"/>
        <v>14858.560000000001</v>
      </c>
      <c r="K545" s="89">
        <f t="shared" si="41"/>
        <v>3067.78</v>
      </c>
      <c r="L545" s="89">
        <f t="shared" si="41"/>
        <v>3134643.05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755980.28</v>
      </c>
      <c r="G549" s="87">
        <f>L526</f>
        <v>406067.44</v>
      </c>
      <c r="H549" s="87">
        <f>L531</f>
        <v>95205.829999999987</v>
      </c>
      <c r="I549" s="87">
        <f>L536</f>
        <v>0</v>
      </c>
      <c r="J549" s="87">
        <f>L541</f>
        <v>86643.92</v>
      </c>
      <c r="K549" s="87">
        <f>SUM(F549:J549)</f>
        <v>1343897.47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353007.41</v>
      </c>
      <c r="G550" s="87">
        <f>L527</f>
        <v>269994.86</v>
      </c>
      <c r="H550" s="87">
        <f>L532</f>
        <v>95205.829999999987</v>
      </c>
      <c r="I550" s="87">
        <f>L537</f>
        <v>0</v>
      </c>
      <c r="J550" s="87">
        <f>L542</f>
        <v>23852.01</v>
      </c>
      <c r="K550" s="87">
        <f>SUM(F550:J550)</f>
        <v>742060.11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479287.92000000004</v>
      </c>
      <c r="G551" s="87">
        <f>L528</f>
        <v>419413.36</v>
      </c>
      <c r="H551" s="87">
        <f>L533</f>
        <v>95205.86</v>
      </c>
      <c r="I551" s="87">
        <f>L538</f>
        <v>0</v>
      </c>
      <c r="J551" s="87">
        <f>L543</f>
        <v>54778.33</v>
      </c>
      <c r="K551" s="87">
        <f>SUM(F551:J551)</f>
        <v>1048685.47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1588275.6099999999</v>
      </c>
      <c r="G552" s="89">
        <f t="shared" si="42"/>
        <v>1095475.6600000001</v>
      </c>
      <c r="H552" s="89">
        <f t="shared" si="42"/>
        <v>285617.51999999996</v>
      </c>
      <c r="I552" s="89">
        <f t="shared" si="42"/>
        <v>0</v>
      </c>
      <c r="J552" s="89">
        <f t="shared" si="42"/>
        <v>165274.26</v>
      </c>
      <c r="K552" s="89">
        <f t="shared" si="42"/>
        <v>3134643.05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>
        <v>0</v>
      </c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>
        <v>0</v>
      </c>
      <c r="G578" s="18">
        <v>0</v>
      </c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136518.68</v>
      </c>
      <c r="G582" s="18">
        <v>71454.960000000006</v>
      </c>
      <c r="H582" s="18">
        <v>83942.54</v>
      </c>
      <c r="I582" s="87">
        <f t="shared" si="47"/>
        <v>291916.18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5333.82</v>
      </c>
      <c r="I584" s="87">
        <f t="shared" si="47"/>
        <v>5333.82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154424.51999999999</v>
      </c>
      <c r="I591" s="18">
        <v>153223</v>
      </c>
      <c r="J591" s="18">
        <v>155529</v>
      </c>
      <c r="K591" s="104">
        <f t="shared" ref="K591:K597" si="48">SUM(H591:J591)</f>
        <v>463176.52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86643.92</v>
      </c>
      <c r="I592" s="18">
        <v>23852.01</v>
      </c>
      <c r="J592" s="18">
        <v>54778.33</v>
      </c>
      <c r="K592" s="104">
        <f t="shared" si="48"/>
        <v>165274.26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27645.119999999999</v>
      </c>
      <c r="K593" s="104">
        <f t="shared" si="48"/>
        <v>27645.119999999999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v>11537.29</v>
      </c>
      <c r="J594" s="18">
        <v>35599.64</v>
      </c>
      <c r="K594" s="104">
        <f t="shared" si="48"/>
        <v>47136.93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>
        <v>2082.3200000000002</v>
      </c>
      <c r="K595" s="104">
        <f t="shared" si="48"/>
        <v>2082.3200000000002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241068.44</v>
      </c>
      <c r="I598" s="108">
        <f>SUM(I591:I597)</f>
        <v>188612.30000000002</v>
      </c>
      <c r="J598" s="108">
        <f>SUM(J591:J597)</f>
        <v>275634.41000000003</v>
      </c>
      <c r="K598" s="108">
        <f>SUM(K591:K597)</f>
        <v>705315.15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20700.38</v>
      </c>
      <c r="I604" s="18">
        <v>50643.31</v>
      </c>
      <c r="J604" s="18">
        <v>62101.45</v>
      </c>
      <c r="K604" s="104">
        <f>SUM(H604:J604)</f>
        <v>133445.14000000001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20700.38</v>
      </c>
      <c r="I605" s="108">
        <f>SUM(I602:I604)</f>
        <v>50643.31</v>
      </c>
      <c r="J605" s="108">
        <f>SUM(J602:J604)</f>
        <v>62101.45</v>
      </c>
      <c r="K605" s="108">
        <f>SUM(K602:K604)</f>
        <v>133445.14000000001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1874007.5899999999</v>
      </c>
      <c r="H617" s="109">
        <f>SUM(F52)</f>
        <v>1874007.5899999999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58449.450000000004</v>
      </c>
      <c r="H618" s="109">
        <f>SUM(G52)</f>
        <v>58449.45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88720.37</v>
      </c>
      <c r="H619" s="109">
        <f>SUM(H52)</f>
        <v>88720.37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6990</v>
      </c>
      <c r="H620" s="109">
        <f>SUM(I52)</f>
        <v>6990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420475.68</v>
      </c>
      <c r="H621" s="109">
        <f>SUM(J52)</f>
        <v>420475.68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1709240.22</v>
      </c>
      <c r="H622" s="109">
        <f>F476</f>
        <v>1709240.2200000007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6914.09</v>
      </c>
      <c r="H623" s="109">
        <f>G476</f>
        <v>6914.0900000000256</v>
      </c>
      <c r="I623" s="121" t="s">
        <v>102</v>
      </c>
      <c r="J623" s="109">
        <f t="shared" si="50"/>
        <v>-2.5465851649641991E-11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-29573.09</v>
      </c>
      <c r="H624" s="109">
        <f>H476</f>
        <v>-29573.090000000084</v>
      </c>
      <c r="I624" s="121" t="s">
        <v>103</v>
      </c>
      <c r="J624" s="109">
        <f t="shared" si="50"/>
        <v>8.3673512563109398E-11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6990</v>
      </c>
      <c r="H625" s="109">
        <f>I476</f>
        <v>6990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420475.68</v>
      </c>
      <c r="H626" s="109">
        <f>J476</f>
        <v>420475.68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16972036.77</v>
      </c>
      <c r="H627" s="104">
        <f>SUM(F468)</f>
        <v>16972036.77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403648.04</v>
      </c>
      <c r="H628" s="104">
        <f>SUM(G468)</f>
        <v>403648.04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674983.99</v>
      </c>
      <c r="H629" s="104">
        <f>SUM(H468)</f>
        <v>674983.99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98377.87</v>
      </c>
      <c r="H631" s="104">
        <f>SUM(J468)</f>
        <v>98377.87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16540692.129999999</v>
      </c>
      <c r="H632" s="104">
        <f>SUM(F472)</f>
        <v>16540692.130000001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634072.31000000006</v>
      </c>
      <c r="H633" s="104">
        <f>SUM(H472)</f>
        <v>634072.31000000006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2364.77</v>
      </c>
      <c r="H634" s="104">
        <f>I369</f>
        <v>2364.77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403648.04000000004</v>
      </c>
      <c r="H635" s="104">
        <f>SUM(G472)</f>
        <v>403648.04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98377.87</v>
      </c>
      <c r="H637" s="164">
        <f>SUM(J468)</f>
        <v>98377.87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85000</v>
      </c>
      <c r="H638" s="164">
        <f>SUM(J472)</f>
        <v>85000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420475.68</v>
      </c>
      <c r="H639" s="104">
        <f>SUM(F461)</f>
        <v>420475.68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420475.68</v>
      </c>
      <c r="H642" s="104">
        <f>SUM(I461)</f>
        <v>420475.68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13377.87</v>
      </c>
      <c r="H644" s="104">
        <f>H408</f>
        <v>13377.869999999999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85000</v>
      </c>
      <c r="H645" s="104">
        <f>G408</f>
        <v>85000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98377.87</v>
      </c>
      <c r="H646" s="104">
        <f>L408</f>
        <v>98377.87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705315.15</v>
      </c>
      <c r="H647" s="104">
        <f>L208+L226+L244</f>
        <v>705315.14999999991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133445.14000000001</v>
      </c>
      <c r="H648" s="104">
        <f>(J257+J338)-(J255+J336)</f>
        <v>133445.14000000001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241068.44</v>
      </c>
      <c r="H649" s="104">
        <f>H598</f>
        <v>241068.44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188612.3</v>
      </c>
      <c r="H650" s="104">
        <f>I598</f>
        <v>188612.30000000002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275634.40999999997</v>
      </c>
      <c r="H651" s="104">
        <f>J598</f>
        <v>275634.41000000003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2545.67</v>
      </c>
      <c r="H652" s="104">
        <f>K263+K345</f>
        <v>2545.67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85000</v>
      </c>
      <c r="H655" s="104">
        <f>K266+K347</f>
        <v>85000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5081401.2699999996</v>
      </c>
      <c r="G660" s="19">
        <f>(L229+L309+L359)</f>
        <v>4358939.9299999988</v>
      </c>
      <c r="H660" s="19">
        <f>(L247+L328+L360)</f>
        <v>5621380.6999999993</v>
      </c>
      <c r="I660" s="19">
        <f>SUM(F660:H660)</f>
        <v>15061721.899999999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55127.372845080834</v>
      </c>
      <c r="G661" s="19">
        <f>(L359/IF(SUM(L358:L360)=0,1,SUM(L358:L360))*(SUM(G97:G110)))</f>
        <v>55260.540209352926</v>
      </c>
      <c r="H661" s="19">
        <f>(L360/IF(SUM(L358:L360)=0,1,SUM(L358:L360))*(SUM(G97:G110)))</f>
        <v>55127.376945566248</v>
      </c>
      <c r="I661" s="19">
        <f>SUM(F661:H661)</f>
        <v>165515.29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241068.44</v>
      </c>
      <c r="G662" s="19">
        <f>(L226+L306)-(J226+J306)</f>
        <v>188612.3</v>
      </c>
      <c r="H662" s="19">
        <f>(L244+L325)-(J244+J325)</f>
        <v>275634.40999999997</v>
      </c>
      <c r="I662" s="19">
        <f>SUM(F662:H662)</f>
        <v>705315.14999999991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157219.06</v>
      </c>
      <c r="G663" s="199">
        <f>SUM(G575:G587)+SUM(I602:I604)+L612</f>
        <v>122098.27</v>
      </c>
      <c r="H663" s="199">
        <f>SUM(H575:H587)+SUM(J602:J604)+L613</f>
        <v>151377.81</v>
      </c>
      <c r="I663" s="19">
        <f>SUM(F663:H663)</f>
        <v>430695.14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4627986.3971549189</v>
      </c>
      <c r="G664" s="19">
        <f>G660-SUM(G661:G663)</f>
        <v>3992968.819790646</v>
      </c>
      <c r="H664" s="19">
        <f>H660-SUM(H661:H663)</f>
        <v>5139241.1030544331</v>
      </c>
      <c r="I664" s="19">
        <f>I660-SUM(I661:I663)</f>
        <v>13760196.319999998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381.6</v>
      </c>
      <c r="G665" s="248">
        <v>328.99</v>
      </c>
      <c r="H665" s="248">
        <v>336.17</v>
      </c>
      <c r="I665" s="19">
        <f>SUM(F665:H665)</f>
        <v>1046.76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12127.85</v>
      </c>
      <c r="G667" s="19">
        <f>ROUND(G664/G665,2)</f>
        <v>12137.05</v>
      </c>
      <c r="H667" s="19">
        <f>ROUND(H664/H665,2)</f>
        <v>15287.63</v>
      </c>
      <c r="I667" s="19">
        <f>ROUND(I664/I665,2)</f>
        <v>13145.51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7.9</v>
      </c>
      <c r="I670" s="19">
        <f>SUM(F670:H670)</f>
        <v>7.9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12127.85</v>
      </c>
      <c r="G672" s="19">
        <f>ROUND((G664+G669)/(G665+G670),2)</f>
        <v>12137.05</v>
      </c>
      <c r="H672" s="19">
        <f>ROUND((H664+H669)/(H665+H670),2)</f>
        <v>14936.61</v>
      </c>
      <c r="I672" s="19">
        <f>ROUND((I664+I669)/(I665+I670),2)</f>
        <v>13047.04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2015-2016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1" sqref="B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MASCENIC REGIONAL SCHOOL DISTRICT #87</v>
      </c>
      <c r="C1" s="238" t="s">
        <v>839</v>
      </c>
    </row>
    <row r="2" spans="1:3" x14ac:dyDescent="0.2">
      <c r="A2" s="233"/>
      <c r="B2" s="232"/>
    </row>
    <row r="3" spans="1:3" x14ac:dyDescent="0.2">
      <c r="A3" s="278" t="s">
        <v>784</v>
      </c>
      <c r="B3" s="278"/>
      <c r="C3" s="278"/>
    </row>
    <row r="4" spans="1:3" x14ac:dyDescent="0.2">
      <c r="A4" s="236"/>
      <c r="B4" s="237" t="str">
        <f>'DOE25'!H1</f>
        <v>DOE 25  2015-2016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783</v>
      </c>
      <c r="C6" s="277"/>
    </row>
    <row r="7" spans="1:3" x14ac:dyDescent="0.2">
      <c r="A7" s="239" t="s">
        <v>786</v>
      </c>
      <c r="B7" s="275" t="s">
        <v>782</v>
      </c>
      <c r="C7" s="276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4155994.01</v>
      </c>
      <c r="C9" s="229">
        <f>'DOE25'!G197+'DOE25'!G215+'DOE25'!G233+'DOE25'!G276+'DOE25'!G295+'DOE25'!G314</f>
        <v>2216994.6</v>
      </c>
    </row>
    <row r="10" spans="1:3" x14ac:dyDescent="0.2">
      <c r="A10" t="s">
        <v>779</v>
      </c>
      <c r="B10" s="240">
        <v>3871031.99</v>
      </c>
      <c r="C10" s="240">
        <v>2181763.7799999998</v>
      </c>
    </row>
    <row r="11" spans="1:3" x14ac:dyDescent="0.2">
      <c r="A11" t="s">
        <v>780</v>
      </c>
      <c r="B11" s="240">
        <v>35298.44</v>
      </c>
      <c r="C11" s="240">
        <v>9732.49</v>
      </c>
    </row>
    <row r="12" spans="1:3" x14ac:dyDescent="0.2">
      <c r="A12" t="s">
        <v>781</v>
      </c>
      <c r="B12" s="240">
        <v>249663.58</v>
      </c>
      <c r="C12" s="240">
        <v>25498.33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4155994.0100000002</v>
      </c>
      <c r="C13" s="231">
        <f>SUM(C10:C12)</f>
        <v>2216994.6</v>
      </c>
    </row>
    <row r="14" spans="1:3" x14ac:dyDescent="0.2">
      <c r="B14" s="230"/>
      <c r="C14" s="230"/>
    </row>
    <row r="15" spans="1:3" x14ac:dyDescent="0.2">
      <c r="B15" s="277" t="s">
        <v>783</v>
      </c>
      <c r="C15" s="277"/>
    </row>
    <row r="16" spans="1:3" x14ac:dyDescent="0.2">
      <c r="A16" s="239" t="s">
        <v>787</v>
      </c>
      <c r="B16" s="275" t="s">
        <v>707</v>
      </c>
      <c r="C16" s="276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868186.75</v>
      </c>
      <c r="C18" s="229">
        <f>'DOE25'!G198+'DOE25'!G216+'DOE25'!G234+'DOE25'!G277+'DOE25'!G296+'DOE25'!G315</f>
        <v>403260.88</v>
      </c>
    </row>
    <row r="19" spans="1:3" x14ac:dyDescent="0.2">
      <c r="A19" t="s">
        <v>779</v>
      </c>
      <c r="B19" s="240">
        <v>465816.57</v>
      </c>
      <c r="C19" s="240">
        <v>243027.01</v>
      </c>
    </row>
    <row r="20" spans="1:3" x14ac:dyDescent="0.2">
      <c r="A20" t="s">
        <v>780</v>
      </c>
      <c r="B20" s="240">
        <v>340217.07</v>
      </c>
      <c r="C20" s="240">
        <v>147374.75</v>
      </c>
    </row>
    <row r="21" spans="1:3" x14ac:dyDescent="0.2">
      <c r="A21" t="s">
        <v>781</v>
      </c>
      <c r="B21" s="240">
        <v>62153.11</v>
      </c>
      <c r="C21" s="240">
        <v>12859.12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868186.75</v>
      </c>
      <c r="C22" s="231">
        <f>SUM(C19:C21)</f>
        <v>403260.88</v>
      </c>
    </row>
    <row r="23" spans="1:3" x14ac:dyDescent="0.2">
      <c r="B23" s="230"/>
      <c r="C23" s="230"/>
    </row>
    <row r="24" spans="1:3" x14ac:dyDescent="0.2">
      <c r="B24" s="277" t="s">
        <v>783</v>
      </c>
      <c r="C24" s="277"/>
    </row>
    <row r="25" spans="1:3" x14ac:dyDescent="0.2">
      <c r="A25" s="239" t="s">
        <v>788</v>
      </c>
      <c r="B25" s="275" t="s">
        <v>708</v>
      </c>
      <c r="C25" s="276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93038.17</v>
      </c>
      <c r="C27" s="234">
        <f>'DOE25'!G199+'DOE25'!G217+'DOE25'!G235+'DOE25'!G278+'DOE25'!G297+'DOE25'!G316</f>
        <v>42359.11</v>
      </c>
    </row>
    <row r="28" spans="1:3" x14ac:dyDescent="0.2">
      <c r="A28" t="s">
        <v>779</v>
      </c>
      <c r="B28" s="240">
        <v>93038.17</v>
      </c>
      <c r="C28" s="240">
        <v>42359.11</v>
      </c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93038.17</v>
      </c>
      <c r="C31" s="231">
        <f>SUM(C28:C30)</f>
        <v>42359.11</v>
      </c>
    </row>
    <row r="33" spans="1:3" x14ac:dyDescent="0.2">
      <c r="B33" s="277" t="s">
        <v>783</v>
      </c>
      <c r="C33" s="277"/>
    </row>
    <row r="34" spans="1:3" x14ac:dyDescent="0.2">
      <c r="A34" s="239" t="s">
        <v>789</v>
      </c>
      <c r="B34" s="275" t="s">
        <v>709</v>
      </c>
      <c r="C34" s="276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90661</v>
      </c>
      <c r="C36" s="235">
        <f>'DOE25'!G200+'DOE25'!G218+'DOE25'!G236+'DOE25'!G279+'DOE25'!G298+'DOE25'!G317</f>
        <v>14064.83</v>
      </c>
    </row>
    <row r="37" spans="1:3" x14ac:dyDescent="0.2">
      <c r="A37" t="s">
        <v>779</v>
      </c>
      <c r="B37" s="240">
        <v>90661</v>
      </c>
      <c r="C37" s="240">
        <v>14064.83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90661</v>
      </c>
      <c r="C40" s="231">
        <f>SUM(C37:C39)</f>
        <v>14064.83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F37" sqref="F37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790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717</v>
      </c>
      <c r="B2" s="265" t="str">
        <f>'DOE25'!A2</f>
        <v>MASCENIC REGIONAL SCHOOL DISTRICT #87</v>
      </c>
      <c r="C2" s="181"/>
      <c r="D2" s="181" t="s">
        <v>792</v>
      </c>
      <c r="E2" s="181" t="s">
        <v>794</v>
      </c>
      <c r="F2" s="279" t="s">
        <v>821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8345202.7299999986</v>
      </c>
      <c r="D5" s="20">
        <f>SUM('DOE25'!L197:L200)+SUM('DOE25'!L215:L218)+SUM('DOE25'!L233:L236)-F5-G5</f>
        <v>8238306.8499999987</v>
      </c>
      <c r="E5" s="243"/>
      <c r="F5" s="255">
        <f>SUM('DOE25'!J197:J200)+SUM('DOE25'!J215:J218)+SUM('DOE25'!J233:J236)</f>
        <v>94283.13</v>
      </c>
      <c r="G5" s="53">
        <f>SUM('DOE25'!K197:K200)+SUM('DOE25'!K215:K218)+SUM('DOE25'!K233:K236)</f>
        <v>12612.75</v>
      </c>
      <c r="H5" s="259"/>
    </row>
    <row r="6" spans="1:9" x14ac:dyDescent="0.2">
      <c r="A6" s="32">
        <v>2100</v>
      </c>
      <c r="B6" t="s">
        <v>801</v>
      </c>
      <c r="C6" s="245">
        <f t="shared" si="0"/>
        <v>1093463.6600000001</v>
      </c>
      <c r="D6" s="20">
        <f>'DOE25'!L202+'DOE25'!L220+'DOE25'!L238-F6-G6</f>
        <v>1090007.4000000001</v>
      </c>
      <c r="E6" s="243"/>
      <c r="F6" s="255">
        <f>'DOE25'!J202+'DOE25'!J220+'DOE25'!J238</f>
        <v>2043.26</v>
      </c>
      <c r="G6" s="53">
        <f>'DOE25'!K202+'DOE25'!K220+'DOE25'!K238</f>
        <v>1413</v>
      </c>
      <c r="H6" s="259"/>
    </row>
    <row r="7" spans="1:9" x14ac:dyDescent="0.2">
      <c r="A7" s="32">
        <v>2200</v>
      </c>
      <c r="B7" t="s">
        <v>834</v>
      </c>
      <c r="C7" s="245">
        <f t="shared" si="0"/>
        <v>217677.1</v>
      </c>
      <c r="D7" s="20">
        <f>'DOE25'!L203+'DOE25'!L221+'DOE25'!L239-F7-G7</f>
        <v>214207.15</v>
      </c>
      <c r="E7" s="243"/>
      <c r="F7" s="255">
        <f>'DOE25'!J203+'DOE25'!J221+'DOE25'!J239</f>
        <v>3469.95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297835.98000000004</v>
      </c>
      <c r="D8" s="243"/>
      <c r="E8" s="20">
        <f>'DOE25'!L204+'DOE25'!L222+'DOE25'!L240-F8-G8-D9-D11</f>
        <v>283894.49</v>
      </c>
      <c r="F8" s="255">
        <f>'DOE25'!J204+'DOE25'!J222+'DOE25'!J240</f>
        <v>2011.8400000000001</v>
      </c>
      <c r="G8" s="53">
        <f>'DOE25'!K204+'DOE25'!K222+'DOE25'!K240</f>
        <v>11929.65</v>
      </c>
      <c r="H8" s="259"/>
    </row>
    <row r="9" spans="1:9" x14ac:dyDescent="0.2">
      <c r="A9" s="32">
        <v>2310</v>
      </c>
      <c r="B9" t="s">
        <v>818</v>
      </c>
      <c r="C9" s="245">
        <f t="shared" si="0"/>
        <v>100234.62</v>
      </c>
      <c r="D9" s="244">
        <v>100234.62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16000</v>
      </c>
      <c r="D10" s="243"/>
      <c r="E10" s="244">
        <v>16000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273838.87</v>
      </c>
      <c r="D11" s="244">
        <v>273838.87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1080263.94</v>
      </c>
      <c r="D12" s="20">
        <f>'DOE25'!L205+'DOE25'!L223+'DOE25'!L241-F12-G12</f>
        <v>1067398.6299999999</v>
      </c>
      <c r="E12" s="243"/>
      <c r="F12" s="255">
        <f>'DOE25'!J205+'DOE25'!J223+'DOE25'!J241</f>
        <v>689.99</v>
      </c>
      <c r="G12" s="53">
        <f>'DOE25'!K205+'DOE25'!K223+'DOE25'!K241</f>
        <v>12175.32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310387.26</v>
      </c>
      <c r="D13" s="243"/>
      <c r="E13" s="20">
        <f>'DOE25'!L206+'DOE25'!L224+'DOE25'!L242-F13-G13</f>
        <v>307269.09000000003</v>
      </c>
      <c r="F13" s="255">
        <f>'DOE25'!J206+'DOE25'!J224+'DOE25'!J242</f>
        <v>0</v>
      </c>
      <c r="G13" s="53">
        <f>'DOE25'!K206+'DOE25'!K224+'DOE25'!K242</f>
        <v>3118.17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1315991.2899999998</v>
      </c>
      <c r="D14" s="20">
        <f>'DOE25'!L207+'DOE25'!L225+'DOE25'!L243-F14-G14</f>
        <v>1303691.5399999998</v>
      </c>
      <c r="E14" s="243"/>
      <c r="F14" s="255">
        <f>'DOE25'!J207+'DOE25'!J225+'DOE25'!J243</f>
        <v>12299.75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705315.14999999991</v>
      </c>
      <c r="D15" s="20">
        <f>'DOE25'!L208+'DOE25'!L226+'DOE25'!L244-F15-G15</f>
        <v>705315.14999999991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323657.11</v>
      </c>
      <c r="D16" s="243"/>
      <c r="E16" s="20">
        <f>'DOE25'!L209+'DOE25'!L227+'DOE25'!L245-F16-G16</f>
        <v>320648.34000000003</v>
      </c>
      <c r="F16" s="255">
        <f>'DOE25'!J209+'DOE25'!J227+'DOE25'!J245</f>
        <v>2373.36</v>
      </c>
      <c r="G16" s="53">
        <f>'DOE25'!K209+'DOE25'!K227+'DOE25'!K245</f>
        <v>635.41000000000008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2389278.75</v>
      </c>
      <c r="D25" s="243"/>
      <c r="E25" s="243"/>
      <c r="F25" s="258"/>
      <c r="G25" s="256"/>
      <c r="H25" s="257">
        <f>'DOE25'!L260+'DOE25'!L261+'DOE25'!L341+'DOE25'!L342</f>
        <v>2389278.75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403648.04000000004</v>
      </c>
      <c r="D29" s="20">
        <f>'DOE25'!L358+'DOE25'!L359+'DOE25'!L360-'DOE25'!I367-F29-G29</f>
        <v>403648.04000000004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594206.15</v>
      </c>
      <c r="D31" s="20">
        <f>'DOE25'!L290+'DOE25'!L309+'DOE25'!L328+'DOE25'!L333+'DOE25'!L334+'DOE25'!L335-F31-G31</f>
        <v>577932.29</v>
      </c>
      <c r="E31" s="243"/>
      <c r="F31" s="255">
        <f>'DOE25'!J290+'DOE25'!J309+'DOE25'!J328+'DOE25'!J333+'DOE25'!J334+'DOE25'!J335</f>
        <v>16273.86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13974580.539999995</v>
      </c>
      <c r="E33" s="246">
        <f>SUM(E5:E31)</f>
        <v>927811.92000000016</v>
      </c>
      <c r="F33" s="246">
        <f>SUM(F5:F31)</f>
        <v>133445.14000000001</v>
      </c>
      <c r="G33" s="246">
        <f>SUM(G5:G31)</f>
        <v>41884.300000000003</v>
      </c>
      <c r="H33" s="246">
        <f>SUM(H5:H31)</f>
        <v>2389278.75</v>
      </c>
    </row>
    <row r="35" spans="2:8" ht="12" thickBot="1" x14ac:dyDescent="0.25">
      <c r="B35" s="253" t="s">
        <v>847</v>
      </c>
      <c r="D35" s="254">
        <f>E33</f>
        <v>927811.92000000016</v>
      </c>
      <c r="E35" s="249"/>
    </row>
    <row r="36" spans="2:8" ht="12" thickTop="1" x14ac:dyDescent="0.2">
      <c r="B36" t="s">
        <v>815</v>
      </c>
      <c r="D36" s="20">
        <f>D33</f>
        <v>13974580.539999995</v>
      </c>
    </row>
    <row r="38" spans="2:8" x14ac:dyDescent="0.2">
      <c r="B38" s="187" t="s">
        <v>905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MASCENIC REGIONAL SCHOOL DISTRICT #87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1719794.24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80142.48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57962.139999999898</v>
      </c>
      <c r="D11" s="95">
        <f>'DOE25'!G12</f>
        <v>51679.15</v>
      </c>
      <c r="E11" s="95">
        <f>'DOE25'!H12</f>
        <v>0</v>
      </c>
      <c r="F11" s="95">
        <f>'DOE25'!I12</f>
        <v>6990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420475.68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16108.73</v>
      </c>
      <c r="D13" s="95">
        <f>'DOE25'!G14</f>
        <v>0</v>
      </c>
      <c r="E13" s="95">
        <f>'DOE25'!H14</f>
        <v>88720.37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6770.3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1874007.5899999999</v>
      </c>
      <c r="D18" s="41">
        <f>SUM(D8:D17)</f>
        <v>58449.450000000004</v>
      </c>
      <c r="E18" s="41">
        <f>SUM(E8:E17)</f>
        <v>88720.37</v>
      </c>
      <c r="F18" s="41">
        <f>SUM(F8:F17)</f>
        <v>6990</v>
      </c>
      <c r="G18" s="41">
        <f>SUM(G8:G17)</f>
        <v>420475.68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9243.67</v>
      </c>
      <c r="D21" s="95">
        <f>'DOE25'!G22</f>
        <v>0</v>
      </c>
      <c r="E21" s="95">
        <f>'DOE25'!H22</f>
        <v>116631.29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93638.790000000008</v>
      </c>
      <c r="D23" s="95">
        <f>'DOE25'!G24</f>
        <v>46991</v>
      </c>
      <c r="E23" s="95">
        <f>'DOE25'!H24</f>
        <v>1008.75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61884.91</v>
      </c>
      <c r="D27" s="95">
        <f>'DOE25'!G28</f>
        <v>0</v>
      </c>
      <c r="E27" s="95" t="str">
        <f>'DOE25'!H28</f>
        <v xml:space="preserve"> 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4544.3599999999997</v>
      </c>
      <c r="E29" s="95">
        <f>'DOE25'!H30</f>
        <v>653.41999999999996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164767.37</v>
      </c>
      <c r="D31" s="41">
        <f>SUM(D21:D30)</f>
        <v>51535.360000000001</v>
      </c>
      <c r="E31" s="41">
        <f>SUM(E21:E30)</f>
        <v>118293.45999999999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6770.3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143.79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85000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-29573.09</v>
      </c>
      <c r="F44" s="95">
        <f>'DOE25'!I45</f>
        <v>6990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372749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420475.68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1251491.22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1709240.22</v>
      </c>
      <c r="D50" s="41">
        <f>SUM(D34:D49)</f>
        <v>6914.09</v>
      </c>
      <c r="E50" s="41">
        <f>SUM(E34:E49)</f>
        <v>-29573.09</v>
      </c>
      <c r="F50" s="41">
        <f>SUM(F34:F49)</f>
        <v>6990</v>
      </c>
      <c r="G50" s="41">
        <f>SUM(G34:G49)</f>
        <v>420475.68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1874007.5899999999</v>
      </c>
      <c r="D51" s="41">
        <f>D50+D31</f>
        <v>58449.45</v>
      </c>
      <c r="E51" s="41">
        <f>E50+E31</f>
        <v>88720.37</v>
      </c>
      <c r="F51" s="41">
        <f>F50+F31</f>
        <v>6990</v>
      </c>
      <c r="G51" s="41">
        <f>G50+G31</f>
        <v>420475.68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8184016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51221.45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94.19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13377.87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165515.29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93286.89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144602.53</v>
      </c>
      <c r="D62" s="130">
        <f>SUM(D57:D61)</f>
        <v>165515.29</v>
      </c>
      <c r="E62" s="130">
        <f>SUM(E57:E61)</f>
        <v>0</v>
      </c>
      <c r="F62" s="130">
        <f>SUM(F57:F61)</f>
        <v>0</v>
      </c>
      <c r="G62" s="130">
        <f>SUM(G57:G61)</f>
        <v>13377.87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8328618.5300000003</v>
      </c>
      <c r="D63" s="22">
        <f>D56+D62</f>
        <v>165515.29</v>
      </c>
      <c r="E63" s="22">
        <f>E56+E62</f>
        <v>0</v>
      </c>
      <c r="F63" s="22">
        <f>F56+F62</f>
        <v>0</v>
      </c>
      <c r="G63" s="22">
        <f>G56+G62</f>
        <v>13377.87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5645971.46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1079958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6725929.46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797013.02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58666.28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68896.3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5551.66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924575.60000000009</v>
      </c>
      <c r="D78" s="130">
        <f>SUM(D72:D77)</f>
        <v>5551.66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7650505.0600000005</v>
      </c>
      <c r="D81" s="130">
        <f>SUM(D79:D80)+D78+D70</f>
        <v>5551.66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103291.45</v>
      </c>
      <c r="D88" s="95">
        <f>SUM('DOE25'!G153:G161)</f>
        <v>230035.41999999998</v>
      </c>
      <c r="E88" s="95">
        <f>SUM('DOE25'!H153:H161)</f>
        <v>674983.99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103291.45</v>
      </c>
      <c r="D91" s="131">
        <f>SUM(D85:D90)</f>
        <v>230035.41999999998</v>
      </c>
      <c r="E91" s="131">
        <f>SUM(E85:E90)</f>
        <v>674983.99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849722.72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2545.67</v>
      </c>
      <c r="E96" s="95">
        <f>'DOE25'!H179</f>
        <v>0</v>
      </c>
      <c r="F96" s="95">
        <f>'DOE25'!I179</f>
        <v>0</v>
      </c>
      <c r="G96" s="95">
        <f>'DOE25'!J179</f>
        <v>85000</v>
      </c>
    </row>
    <row r="97" spans="1:7" x14ac:dyDescent="0.2">
      <c r="A97" t="s">
        <v>758</v>
      </c>
      <c r="B97" s="32" t="s">
        <v>188</v>
      </c>
      <c r="C97" s="95">
        <f>SUM('DOE25'!F180:F181)</f>
        <v>39899.01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889621.73</v>
      </c>
      <c r="D103" s="86">
        <f>SUM(D93:D102)</f>
        <v>2545.67</v>
      </c>
      <c r="E103" s="86">
        <f>SUM(E93:E102)</f>
        <v>0</v>
      </c>
      <c r="F103" s="86">
        <f>SUM(F93:F102)</f>
        <v>0</v>
      </c>
      <c r="G103" s="86">
        <f>SUM(G93:G102)</f>
        <v>85000</v>
      </c>
    </row>
    <row r="104" spans="1:7" ht="12.75" thickTop="1" thickBot="1" x14ac:dyDescent="0.25">
      <c r="A104" s="33" t="s">
        <v>765</v>
      </c>
      <c r="C104" s="86">
        <f>C63+C81+C91+C103</f>
        <v>16972036.77</v>
      </c>
      <c r="D104" s="86">
        <f>D63+D81+D91+D103</f>
        <v>403648.04</v>
      </c>
      <c r="E104" s="86">
        <f>E63+E81+E91+E103</f>
        <v>674983.99</v>
      </c>
      <c r="F104" s="86">
        <f>F63+F81+F91+F103</f>
        <v>0</v>
      </c>
      <c r="G104" s="86">
        <f>G63+G81+G103</f>
        <v>98377.87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6671991.0599999996</v>
      </c>
      <c r="D109" s="24" t="s">
        <v>289</v>
      </c>
      <c r="E109" s="95">
        <f>('DOE25'!L276)+('DOE25'!L295)+('DOE25'!L314)</f>
        <v>240580.72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1352940.25</v>
      </c>
      <c r="D110" s="24" t="s">
        <v>289</v>
      </c>
      <c r="E110" s="95">
        <f>('DOE25'!L277)+('DOE25'!L296)+('DOE25'!L315)</f>
        <v>235335.36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150861.52999999997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169409.88999999998</v>
      </c>
      <c r="D112" s="24" t="s">
        <v>289</v>
      </c>
      <c r="E112" s="95">
        <f>+('DOE25'!L279)+('DOE25'!L298)+('DOE25'!L317)</f>
        <v>20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8345202.7299999995</v>
      </c>
      <c r="D115" s="86">
        <f>SUM(D109:D114)</f>
        <v>0</v>
      </c>
      <c r="E115" s="86">
        <f>SUM(E109:E114)</f>
        <v>475936.07999999996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1093463.6600000001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217677.1</v>
      </c>
      <c r="D119" s="24" t="s">
        <v>289</v>
      </c>
      <c r="E119" s="95">
        <f>+('DOE25'!L282)+('DOE25'!L301)+('DOE25'!L320)</f>
        <v>118270.06999999999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671909.47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1080263.94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310387.26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1315991.2899999998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705315.14999999991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323657.11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403648.04000000004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5718664.9799999995</v>
      </c>
      <c r="D128" s="86">
        <f>SUM(D118:D127)</f>
        <v>403648.04000000004</v>
      </c>
      <c r="E128" s="86">
        <f>SUM(E118:E127)</f>
        <v>118270.06999999999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1475000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914278.75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39866.160000000003</v>
      </c>
      <c r="F134" s="95">
        <f>'DOE25'!K381</f>
        <v>0</v>
      </c>
      <c r="G134" s="95">
        <f>'DOE25'!K434</f>
        <v>85000</v>
      </c>
    </row>
    <row r="135" spans="1:7" x14ac:dyDescent="0.2">
      <c r="A135" t="s">
        <v>233</v>
      </c>
      <c r="B135" s="32" t="s">
        <v>234</v>
      </c>
      <c r="C135" s="95">
        <f>'DOE25'!L263</f>
        <v>2545.67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98377.87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-13377.869999999995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2476824.42</v>
      </c>
      <c r="D144" s="141">
        <f>SUM(D130:D143)</f>
        <v>0</v>
      </c>
      <c r="E144" s="141">
        <f>SUM(E130:E143)</f>
        <v>39866.160000000003</v>
      </c>
      <c r="F144" s="141">
        <f>SUM(F130:F143)</f>
        <v>0</v>
      </c>
      <c r="G144" s="141">
        <f>SUM(G130:G143)</f>
        <v>85000</v>
      </c>
    </row>
    <row r="145" spans="1:9" ht="12.75" thickTop="1" thickBot="1" x14ac:dyDescent="0.25">
      <c r="A145" s="33" t="s">
        <v>244</v>
      </c>
      <c r="C145" s="86">
        <f>(C115+C128+C144)</f>
        <v>16540692.129999999</v>
      </c>
      <c r="D145" s="86">
        <f>(D115+D128+D144)</f>
        <v>403648.04000000004</v>
      </c>
      <c r="E145" s="86">
        <f>(E115+E128+E144)</f>
        <v>634072.30999999994</v>
      </c>
      <c r="F145" s="86">
        <f>(F115+F128+F144)</f>
        <v>0</v>
      </c>
      <c r="G145" s="86">
        <f>(G115+G128+G144)</f>
        <v>85000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16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6/10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9/26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23623315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5.39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17700000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17700000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1475000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1475000</v>
      </c>
    </row>
    <row r="159" spans="1:9" x14ac:dyDescent="0.2">
      <c r="A159" s="22" t="s">
        <v>35</v>
      </c>
      <c r="B159" s="137">
        <f>'DOE25'!F498</f>
        <v>16225000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16225000</v>
      </c>
    </row>
    <row r="160" spans="1:9" x14ac:dyDescent="0.2">
      <c r="A160" s="22" t="s">
        <v>36</v>
      </c>
      <c r="B160" s="137">
        <f>'DOE25'!F499</f>
        <v>4809904.25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4809904.25</v>
      </c>
    </row>
    <row r="161" spans="1:7" x14ac:dyDescent="0.2">
      <c r="A161" s="22" t="s">
        <v>37</v>
      </c>
      <c r="B161" s="137">
        <f>'DOE25'!F500</f>
        <v>21034904.25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21034904.25</v>
      </c>
    </row>
    <row r="162" spans="1:7" x14ac:dyDescent="0.2">
      <c r="A162" s="22" t="s">
        <v>38</v>
      </c>
      <c r="B162" s="137">
        <f>'DOE25'!F501</f>
        <v>1475000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1475000</v>
      </c>
    </row>
    <row r="163" spans="1:7" x14ac:dyDescent="0.2">
      <c r="A163" s="22" t="s">
        <v>39</v>
      </c>
      <c r="B163" s="137">
        <f>'DOE25'!F502</f>
        <v>834776.25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834776.25</v>
      </c>
    </row>
    <row r="164" spans="1:7" x14ac:dyDescent="0.2">
      <c r="A164" s="22" t="s">
        <v>246</v>
      </c>
      <c r="B164" s="137">
        <f>'DOE25'!F503</f>
        <v>2309776.25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2309776.25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C4" sqref="C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740</v>
      </c>
      <c r="B1" s="283"/>
      <c r="C1" s="283"/>
      <c r="D1" s="283"/>
    </row>
    <row r="2" spans="1:4" x14ac:dyDescent="0.2">
      <c r="A2" s="187" t="s">
        <v>717</v>
      </c>
      <c r="B2" s="186" t="str">
        <f>'DOE25'!A2</f>
        <v>MASCENIC REGIONAL SCHOOL DISTRICT #87</v>
      </c>
    </row>
    <row r="3" spans="1:4" x14ac:dyDescent="0.2">
      <c r="B3" s="188" t="s">
        <v>902</v>
      </c>
    </row>
    <row r="4" spans="1:4" x14ac:dyDescent="0.2">
      <c r="B4" t="s">
        <v>61</v>
      </c>
      <c r="C4" s="179">
        <f>IF('DOE25'!F665+'DOE25'!F670=0,0,ROUND('DOE25'!F672,0))</f>
        <v>12128</v>
      </c>
    </row>
    <row r="5" spans="1:4" x14ac:dyDescent="0.2">
      <c r="B5" t="s">
        <v>704</v>
      </c>
      <c r="C5" s="179">
        <f>IF('DOE25'!G665+'DOE25'!G670=0,0,ROUND('DOE25'!G672,0))</f>
        <v>12137</v>
      </c>
    </row>
    <row r="6" spans="1:4" x14ac:dyDescent="0.2">
      <c r="B6" t="s">
        <v>62</v>
      </c>
      <c r="C6" s="179">
        <f>IF('DOE25'!H665+'DOE25'!H670=0,0,ROUND('DOE25'!H672,0))</f>
        <v>14937</v>
      </c>
    </row>
    <row r="7" spans="1:4" x14ac:dyDescent="0.2">
      <c r="B7" t="s">
        <v>705</v>
      </c>
      <c r="C7" s="179">
        <f>IF('DOE25'!I665+'DOE25'!I670=0,0,ROUND('DOE25'!I672,0))</f>
        <v>13047</v>
      </c>
    </row>
    <row r="9" spans="1:4" x14ac:dyDescent="0.2">
      <c r="A9" s="187" t="s">
        <v>94</v>
      </c>
      <c r="B9" s="188" t="s">
        <v>903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6912572</v>
      </c>
      <c r="D10" s="182">
        <f>ROUND((C10/$C$28)*100,1)</f>
        <v>43.7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1588276</v>
      </c>
      <c r="D11" s="182">
        <f>ROUND((C11/$C$28)*100,1)</f>
        <v>10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150862</v>
      </c>
      <c r="D12" s="182">
        <f>ROUND((C12/$C$28)*100,1)</f>
        <v>1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169430</v>
      </c>
      <c r="D13" s="182">
        <f>ROUND((C13/$C$28)*100,1)</f>
        <v>1.1000000000000001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1093464</v>
      </c>
      <c r="D15" s="182">
        <f t="shared" ref="D15:D27" si="0">ROUND((C15/$C$28)*100,1)</f>
        <v>6.9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335947</v>
      </c>
      <c r="D16" s="182">
        <f t="shared" si="0"/>
        <v>2.1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995567</v>
      </c>
      <c r="D17" s="182">
        <f t="shared" si="0"/>
        <v>6.3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1080264</v>
      </c>
      <c r="D18" s="182">
        <f t="shared" si="0"/>
        <v>6.8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310387</v>
      </c>
      <c r="D19" s="182">
        <f t="shared" si="0"/>
        <v>2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1315991</v>
      </c>
      <c r="D20" s="182">
        <f t="shared" si="0"/>
        <v>8.3000000000000007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705315</v>
      </c>
      <c r="D21" s="182">
        <f t="shared" si="0"/>
        <v>4.5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914279</v>
      </c>
      <c r="D25" s="182">
        <f t="shared" si="0"/>
        <v>5.8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238132.71</v>
      </c>
      <c r="D27" s="182">
        <f t="shared" si="0"/>
        <v>1.5</v>
      </c>
    </row>
    <row r="28" spans="1:4" x14ac:dyDescent="0.2">
      <c r="B28" s="187" t="s">
        <v>723</v>
      </c>
      <c r="C28" s="180">
        <f>SUM(C10:C27)</f>
        <v>15810486.710000001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15810486.710000001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1475000</v>
      </c>
    </row>
    <row r="34" spans="1:4" x14ac:dyDescent="0.2">
      <c r="A34" s="187" t="s">
        <v>94</v>
      </c>
      <c r="B34" s="188" t="s">
        <v>904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8184016</v>
      </c>
      <c r="D35" s="182">
        <f t="shared" ref="D35:D40" si="1">ROUND((C35/$C$41)*100,1)</f>
        <v>45.8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1007703.1199999992</v>
      </c>
      <c r="D36" s="182">
        <f t="shared" si="1"/>
        <v>5.6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6725929</v>
      </c>
      <c r="D37" s="182">
        <f t="shared" si="1"/>
        <v>37.700000000000003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930127</v>
      </c>
      <c r="D38" s="182">
        <f t="shared" si="1"/>
        <v>5.2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1008311</v>
      </c>
      <c r="D39" s="182">
        <f t="shared" si="1"/>
        <v>5.6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17856086.119999997</v>
      </c>
      <c r="D41" s="184">
        <f>SUM(D35:D40)</f>
        <v>99.899999999999991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4" t="s">
        <v>770</v>
      </c>
      <c r="B1" s="295"/>
      <c r="C1" s="295"/>
      <c r="D1" s="295"/>
      <c r="E1" s="295"/>
      <c r="F1" s="295"/>
      <c r="G1" s="295"/>
      <c r="H1" s="295"/>
      <c r="I1" s="295"/>
      <c r="J1" s="213"/>
      <c r="K1" s="213"/>
      <c r="L1" s="213"/>
      <c r="M1" s="214"/>
    </row>
    <row r="2" spans="1:26" ht="12.75" x14ac:dyDescent="0.2">
      <c r="A2" s="300" t="s">
        <v>767</v>
      </c>
      <c r="B2" s="301"/>
      <c r="C2" s="301"/>
      <c r="D2" s="301"/>
      <c r="E2" s="301"/>
      <c r="F2" s="298" t="str">
        <f>'DOE25'!A2</f>
        <v>MASCENIC REGIONAL SCHOOL DISTRICT #87</v>
      </c>
      <c r="G2" s="299"/>
      <c r="H2" s="299"/>
      <c r="I2" s="299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6" t="s">
        <v>771</v>
      </c>
      <c r="D3" s="296"/>
      <c r="E3" s="296"/>
      <c r="F3" s="296"/>
      <c r="G3" s="296"/>
      <c r="H3" s="296"/>
      <c r="I3" s="296"/>
      <c r="J3" s="296"/>
      <c r="K3" s="296"/>
      <c r="L3" s="296"/>
      <c r="M3" s="297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07"/>
      <c r="AB29" s="207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07"/>
      <c r="AO29" s="207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07"/>
      <c r="BB29" s="207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  <c r="BN29" s="207"/>
      <c r="BO29" s="207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07"/>
      <c r="CB29" s="207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07"/>
      <c r="CO29" s="207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07"/>
      <c r="DB29" s="207"/>
      <c r="DC29" s="290"/>
      <c r="DD29" s="290"/>
      <c r="DE29" s="290"/>
      <c r="DF29" s="290"/>
      <c r="DG29" s="290"/>
      <c r="DH29" s="290"/>
      <c r="DI29" s="290"/>
      <c r="DJ29" s="290"/>
      <c r="DK29" s="290"/>
      <c r="DL29" s="290"/>
      <c r="DM29" s="290"/>
      <c r="DN29" s="207"/>
      <c r="DO29" s="207"/>
      <c r="DP29" s="290"/>
      <c r="DQ29" s="290"/>
      <c r="DR29" s="290"/>
      <c r="DS29" s="290"/>
      <c r="DT29" s="290"/>
      <c r="DU29" s="290"/>
      <c r="DV29" s="290"/>
      <c r="DW29" s="290"/>
      <c r="DX29" s="290"/>
      <c r="DY29" s="290"/>
      <c r="DZ29" s="290"/>
      <c r="EA29" s="207"/>
      <c r="EB29" s="207"/>
      <c r="EC29" s="290"/>
      <c r="ED29" s="290"/>
      <c r="EE29" s="290"/>
      <c r="EF29" s="290"/>
      <c r="EG29" s="290"/>
      <c r="EH29" s="290"/>
      <c r="EI29" s="290"/>
      <c r="EJ29" s="290"/>
      <c r="EK29" s="290"/>
      <c r="EL29" s="290"/>
      <c r="EM29" s="290"/>
      <c r="EN29" s="207"/>
      <c r="EO29" s="207"/>
      <c r="EP29" s="290"/>
      <c r="EQ29" s="290"/>
      <c r="ER29" s="290"/>
      <c r="ES29" s="290"/>
      <c r="ET29" s="290"/>
      <c r="EU29" s="290"/>
      <c r="EV29" s="290"/>
      <c r="EW29" s="290"/>
      <c r="EX29" s="290"/>
      <c r="EY29" s="290"/>
      <c r="EZ29" s="290"/>
      <c r="FA29" s="207"/>
      <c r="FB29" s="207"/>
      <c r="FC29" s="290"/>
      <c r="FD29" s="290"/>
      <c r="FE29" s="290"/>
      <c r="FF29" s="290"/>
      <c r="FG29" s="290"/>
      <c r="FH29" s="290"/>
      <c r="FI29" s="290"/>
      <c r="FJ29" s="290"/>
      <c r="FK29" s="290"/>
      <c r="FL29" s="290"/>
      <c r="FM29" s="290"/>
      <c r="FN29" s="207"/>
      <c r="FO29" s="207"/>
      <c r="FP29" s="290"/>
      <c r="FQ29" s="290"/>
      <c r="FR29" s="290"/>
      <c r="FS29" s="290"/>
      <c r="FT29" s="290"/>
      <c r="FU29" s="290"/>
      <c r="FV29" s="290"/>
      <c r="FW29" s="290"/>
      <c r="FX29" s="290"/>
      <c r="FY29" s="290"/>
      <c r="FZ29" s="290"/>
      <c r="GA29" s="207"/>
      <c r="GB29" s="207"/>
      <c r="GC29" s="290"/>
      <c r="GD29" s="290"/>
      <c r="GE29" s="290"/>
      <c r="GF29" s="290"/>
      <c r="GG29" s="290"/>
      <c r="GH29" s="290"/>
      <c r="GI29" s="290"/>
      <c r="GJ29" s="290"/>
      <c r="GK29" s="290"/>
      <c r="GL29" s="290"/>
      <c r="GM29" s="290"/>
      <c r="GN29" s="207"/>
      <c r="GO29" s="207"/>
      <c r="GP29" s="290"/>
      <c r="GQ29" s="290"/>
      <c r="GR29" s="290"/>
      <c r="GS29" s="290"/>
      <c r="GT29" s="290"/>
      <c r="GU29" s="290"/>
      <c r="GV29" s="290"/>
      <c r="GW29" s="290"/>
      <c r="GX29" s="290"/>
      <c r="GY29" s="290"/>
      <c r="GZ29" s="290"/>
      <c r="HA29" s="207"/>
      <c r="HB29" s="207"/>
      <c r="HC29" s="290"/>
      <c r="HD29" s="290"/>
      <c r="HE29" s="290"/>
      <c r="HF29" s="290"/>
      <c r="HG29" s="290"/>
      <c r="HH29" s="290"/>
      <c r="HI29" s="290"/>
      <c r="HJ29" s="290"/>
      <c r="HK29" s="290"/>
      <c r="HL29" s="290"/>
      <c r="HM29" s="290"/>
      <c r="HN29" s="207"/>
      <c r="HO29" s="207"/>
      <c r="HP29" s="290"/>
      <c r="HQ29" s="290"/>
      <c r="HR29" s="290"/>
      <c r="HS29" s="290"/>
      <c r="HT29" s="290"/>
      <c r="HU29" s="290"/>
      <c r="HV29" s="290"/>
      <c r="HW29" s="290"/>
      <c r="HX29" s="290"/>
      <c r="HY29" s="290"/>
      <c r="HZ29" s="290"/>
      <c r="IA29" s="207"/>
      <c r="IB29" s="207"/>
      <c r="IC29" s="290"/>
      <c r="ID29" s="290"/>
      <c r="IE29" s="290"/>
      <c r="IF29" s="290"/>
      <c r="IG29" s="290"/>
      <c r="IH29" s="290"/>
      <c r="II29" s="290"/>
      <c r="IJ29" s="290"/>
      <c r="IK29" s="290"/>
      <c r="IL29" s="290"/>
      <c r="IM29" s="290"/>
      <c r="IN29" s="207"/>
      <c r="IO29" s="207"/>
      <c r="IP29" s="290"/>
      <c r="IQ29" s="290"/>
      <c r="IR29" s="290"/>
      <c r="IS29" s="290"/>
      <c r="IT29" s="290"/>
      <c r="IU29" s="290"/>
      <c r="IV29" s="290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07"/>
      <c r="AB30" s="207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07"/>
      <c r="AO30" s="207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07"/>
      <c r="BB30" s="207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07"/>
      <c r="BO30" s="207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07"/>
      <c r="CB30" s="207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07"/>
      <c r="CO30" s="207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07"/>
      <c r="DB30" s="207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07"/>
      <c r="DO30" s="207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07"/>
      <c r="EB30" s="207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07"/>
      <c r="EO30" s="207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07"/>
      <c r="FB30" s="207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07"/>
      <c r="FO30" s="207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07"/>
      <c r="GB30" s="207"/>
      <c r="GC30" s="290"/>
      <c r="GD30" s="290"/>
      <c r="GE30" s="290"/>
      <c r="GF30" s="290"/>
      <c r="GG30" s="290"/>
      <c r="GH30" s="290"/>
      <c r="GI30" s="290"/>
      <c r="GJ30" s="290"/>
      <c r="GK30" s="290"/>
      <c r="GL30" s="290"/>
      <c r="GM30" s="290"/>
      <c r="GN30" s="207"/>
      <c r="GO30" s="207"/>
      <c r="GP30" s="290"/>
      <c r="GQ30" s="290"/>
      <c r="GR30" s="290"/>
      <c r="GS30" s="290"/>
      <c r="GT30" s="290"/>
      <c r="GU30" s="290"/>
      <c r="GV30" s="290"/>
      <c r="GW30" s="290"/>
      <c r="GX30" s="290"/>
      <c r="GY30" s="290"/>
      <c r="GZ30" s="290"/>
      <c r="HA30" s="207"/>
      <c r="HB30" s="207"/>
      <c r="HC30" s="290"/>
      <c r="HD30" s="290"/>
      <c r="HE30" s="290"/>
      <c r="HF30" s="290"/>
      <c r="HG30" s="290"/>
      <c r="HH30" s="290"/>
      <c r="HI30" s="290"/>
      <c r="HJ30" s="290"/>
      <c r="HK30" s="290"/>
      <c r="HL30" s="290"/>
      <c r="HM30" s="290"/>
      <c r="HN30" s="207"/>
      <c r="HO30" s="207"/>
      <c r="HP30" s="290"/>
      <c r="HQ30" s="290"/>
      <c r="HR30" s="290"/>
      <c r="HS30" s="290"/>
      <c r="HT30" s="290"/>
      <c r="HU30" s="290"/>
      <c r="HV30" s="290"/>
      <c r="HW30" s="290"/>
      <c r="HX30" s="290"/>
      <c r="HY30" s="290"/>
      <c r="HZ30" s="290"/>
      <c r="IA30" s="207"/>
      <c r="IB30" s="207"/>
      <c r="IC30" s="290"/>
      <c r="ID30" s="290"/>
      <c r="IE30" s="290"/>
      <c r="IF30" s="290"/>
      <c r="IG30" s="290"/>
      <c r="IH30" s="290"/>
      <c r="II30" s="290"/>
      <c r="IJ30" s="290"/>
      <c r="IK30" s="290"/>
      <c r="IL30" s="290"/>
      <c r="IM30" s="290"/>
      <c r="IN30" s="207"/>
      <c r="IO30" s="207"/>
      <c r="IP30" s="290"/>
      <c r="IQ30" s="290"/>
      <c r="IR30" s="290"/>
      <c r="IS30" s="290"/>
      <c r="IT30" s="290"/>
      <c r="IU30" s="290"/>
      <c r="IV30" s="290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07"/>
      <c r="AB31" s="207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07"/>
      <c r="AO31" s="207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07"/>
      <c r="BB31" s="207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  <c r="BN31" s="207"/>
      <c r="BO31" s="207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07"/>
      <c r="CB31" s="207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07"/>
      <c r="CO31" s="207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07"/>
      <c r="DB31" s="207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07"/>
      <c r="DO31" s="207"/>
      <c r="DP31" s="290"/>
      <c r="DQ31" s="290"/>
      <c r="DR31" s="290"/>
      <c r="DS31" s="290"/>
      <c r="DT31" s="290"/>
      <c r="DU31" s="290"/>
      <c r="DV31" s="290"/>
      <c r="DW31" s="290"/>
      <c r="DX31" s="290"/>
      <c r="DY31" s="290"/>
      <c r="DZ31" s="290"/>
      <c r="EA31" s="207"/>
      <c r="EB31" s="207"/>
      <c r="EC31" s="290"/>
      <c r="ED31" s="290"/>
      <c r="EE31" s="290"/>
      <c r="EF31" s="290"/>
      <c r="EG31" s="290"/>
      <c r="EH31" s="290"/>
      <c r="EI31" s="290"/>
      <c r="EJ31" s="290"/>
      <c r="EK31" s="290"/>
      <c r="EL31" s="290"/>
      <c r="EM31" s="290"/>
      <c r="EN31" s="207"/>
      <c r="EO31" s="207"/>
      <c r="EP31" s="290"/>
      <c r="EQ31" s="290"/>
      <c r="ER31" s="290"/>
      <c r="ES31" s="290"/>
      <c r="ET31" s="290"/>
      <c r="EU31" s="290"/>
      <c r="EV31" s="290"/>
      <c r="EW31" s="290"/>
      <c r="EX31" s="290"/>
      <c r="EY31" s="290"/>
      <c r="EZ31" s="290"/>
      <c r="FA31" s="207"/>
      <c r="FB31" s="207"/>
      <c r="FC31" s="290"/>
      <c r="FD31" s="290"/>
      <c r="FE31" s="290"/>
      <c r="FF31" s="290"/>
      <c r="FG31" s="290"/>
      <c r="FH31" s="290"/>
      <c r="FI31" s="290"/>
      <c r="FJ31" s="290"/>
      <c r="FK31" s="290"/>
      <c r="FL31" s="290"/>
      <c r="FM31" s="290"/>
      <c r="FN31" s="207"/>
      <c r="FO31" s="207"/>
      <c r="FP31" s="290"/>
      <c r="FQ31" s="290"/>
      <c r="FR31" s="290"/>
      <c r="FS31" s="290"/>
      <c r="FT31" s="290"/>
      <c r="FU31" s="290"/>
      <c r="FV31" s="290"/>
      <c r="FW31" s="290"/>
      <c r="FX31" s="290"/>
      <c r="FY31" s="290"/>
      <c r="FZ31" s="290"/>
      <c r="GA31" s="207"/>
      <c r="GB31" s="207"/>
      <c r="GC31" s="290"/>
      <c r="GD31" s="290"/>
      <c r="GE31" s="290"/>
      <c r="GF31" s="290"/>
      <c r="GG31" s="290"/>
      <c r="GH31" s="290"/>
      <c r="GI31" s="290"/>
      <c r="GJ31" s="290"/>
      <c r="GK31" s="290"/>
      <c r="GL31" s="290"/>
      <c r="GM31" s="290"/>
      <c r="GN31" s="207"/>
      <c r="GO31" s="207"/>
      <c r="GP31" s="290"/>
      <c r="GQ31" s="290"/>
      <c r="GR31" s="290"/>
      <c r="GS31" s="290"/>
      <c r="GT31" s="290"/>
      <c r="GU31" s="290"/>
      <c r="GV31" s="290"/>
      <c r="GW31" s="290"/>
      <c r="GX31" s="290"/>
      <c r="GY31" s="290"/>
      <c r="GZ31" s="290"/>
      <c r="HA31" s="207"/>
      <c r="HB31" s="207"/>
      <c r="HC31" s="290"/>
      <c r="HD31" s="290"/>
      <c r="HE31" s="290"/>
      <c r="HF31" s="290"/>
      <c r="HG31" s="290"/>
      <c r="HH31" s="290"/>
      <c r="HI31" s="290"/>
      <c r="HJ31" s="290"/>
      <c r="HK31" s="290"/>
      <c r="HL31" s="290"/>
      <c r="HM31" s="290"/>
      <c r="HN31" s="207"/>
      <c r="HO31" s="207"/>
      <c r="HP31" s="290"/>
      <c r="HQ31" s="290"/>
      <c r="HR31" s="290"/>
      <c r="HS31" s="290"/>
      <c r="HT31" s="290"/>
      <c r="HU31" s="290"/>
      <c r="HV31" s="290"/>
      <c r="HW31" s="290"/>
      <c r="HX31" s="290"/>
      <c r="HY31" s="290"/>
      <c r="HZ31" s="290"/>
      <c r="IA31" s="207"/>
      <c r="IB31" s="207"/>
      <c r="IC31" s="290"/>
      <c r="ID31" s="290"/>
      <c r="IE31" s="290"/>
      <c r="IF31" s="290"/>
      <c r="IG31" s="290"/>
      <c r="IH31" s="290"/>
      <c r="II31" s="290"/>
      <c r="IJ31" s="290"/>
      <c r="IK31" s="290"/>
      <c r="IL31" s="290"/>
      <c r="IM31" s="290"/>
      <c r="IN31" s="207"/>
      <c r="IO31" s="207"/>
      <c r="IP31" s="290"/>
      <c r="IQ31" s="290"/>
      <c r="IR31" s="290"/>
      <c r="IS31" s="290"/>
      <c r="IT31" s="290"/>
      <c r="IU31" s="290"/>
      <c r="IV31" s="290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3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07"/>
      <c r="AB38" s="207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07"/>
      <c r="AO38" s="207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07"/>
      <c r="BB38" s="207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07"/>
      <c r="BO38" s="207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07"/>
      <c r="CB38" s="207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07"/>
      <c r="CO38" s="207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07"/>
      <c r="DB38" s="207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07"/>
      <c r="DO38" s="207"/>
      <c r="DP38" s="290"/>
      <c r="DQ38" s="290"/>
      <c r="DR38" s="290"/>
      <c r="DS38" s="290"/>
      <c r="DT38" s="290"/>
      <c r="DU38" s="290"/>
      <c r="DV38" s="290"/>
      <c r="DW38" s="290"/>
      <c r="DX38" s="290"/>
      <c r="DY38" s="290"/>
      <c r="DZ38" s="290"/>
      <c r="EA38" s="207"/>
      <c r="EB38" s="207"/>
      <c r="EC38" s="290"/>
      <c r="ED38" s="290"/>
      <c r="EE38" s="290"/>
      <c r="EF38" s="290"/>
      <c r="EG38" s="290"/>
      <c r="EH38" s="290"/>
      <c r="EI38" s="290"/>
      <c r="EJ38" s="290"/>
      <c r="EK38" s="290"/>
      <c r="EL38" s="290"/>
      <c r="EM38" s="290"/>
      <c r="EN38" s="207"/>
      <c r="EO38" s="207"/>
      <c r="EP38" s="290"/>
      <c r="EQ38" s="290"/>
      <c r="ER38" s="290"/>
      <c r="ES38" s="290"/>
      <c r="ET38" s="290"/>
      <c r="EU38" s="290"/>
      <c r="EV38" s="290"/>
      <c r="EW38" s="290"/>
      <c r="EX38" s="290"/>
      <c r="EY38" s="290"/>
      <c r="EZ38" s="290"/>
      <c r="FA38" s="207"/>
      <c r="FB38" s="207"/>
      <c r="FC38" s="290"/>
      <c r="FD38" s="290"/>
      <c r="FE38" s="290"/>
      <c r="FF38" s="290"/>
      <c r="FG38" s="290"/>
      <c r="FH38" s="290"/>
      <c r="FI38" s="290"/>
      <c r="FJ38" s="290"/>
      <c r="FK38" s="290"/>
      <c r="FL38" s="290"/>
      <c r="FM38" s="290"/>
      <c r="FN38" s="207"/>
      <c r="FO38" s="207"/>
      <c r="FP38" s="290"/>
      <c r="FQ38" s="290"/>
      <c r="FR38" s="290"/>
      <c r="FS38" s="290"/>
      <c r="FT38" s="290"/>
      <c r="FU38" s="290"/>
      <c r="FV38" s="290"/>
      <c r="FW38" s="290"/>
      <c r="FX38" s="290"/>
      <c r="FY38" s="290"/>
      <c r="FZ38" s="290"/>
      <c r="GA38" s="207"/>
      <c r="GB38" s="207"/>
      <c r="GC38" s="290"/>
      <c r="GD38" s="290"/>
      <c r="GE38" s="290"/>
      <c r="GF38" s="290"/>
      <c r="GG38" s="290"/>
      <c r="GH38" s="290"/>
      <c r="GI38" s="290"/>
      <c r="GJ38" s="290"/>
      <c r="GK38" s="290"/>
      <c r="GL38" s="290"/>
      <c r="GM38" s="290"/>
      <c r="GN38" s="207"/>
      <c r="GO38" s="207"/>
      <c r="GP38" s="290"/>
      <c r="GQ38" s="290"/>
      <c r="GR38" s="290"/>
      <c r="GS38" s="290"/>
      <c r="GT38" s="290"/>
      <c r="GU38" s="290"/>
      <c r="GV38" s="290"/>
      <c r="GW38" s="290"/>
      <c r="GX38" s="290"/>
      <c r="GY38" s="290"/>
      <c r="GZ38" s="290"/>
      <c r="HA38" s="207"/>
      <c r="HB38" s="207"/>
      <c r="HC38" s="290"/>
      <c r="HD38" s="290"/>
      <c r="HE38" s="290"/>
      <c r="HF38" s="290"/>
      <c r="HG38" s="290"/>
      <c r="HH38" s="290"/>
      <c r="HI38" s="290"/>
      <c r="HJ38" s="290"/>
      <c r="HK38" s="290"/>
      <c r="HL38" s="290"/>
      <c r="HM38" s="290"/>
      <c r="HN38" s="207"/>
      <c r="HO38" s="207"/>
      <c r="HP38" s="290"/>
      <c r="HQ38" s="290"/>
      <c r="HR38" s="290"/>
      <c r="HS38" s="290"/>
      <c r="HT38" s="290"/>
      <c r="HU38" s="290"/>
      <c r="HV38" s="290"/>
      <c r="HW38" s="290"/>
      <c r="HX38" s="290"/>
      <c r="HY38" s="290"/>
      <c r="HZ38" s="290"/>
      <c r="IA38" s="207"/>
      <c r="IB38" s="207"/>
      <c r="IC38" s="290"/>
      <c r="ID38" s="290"/>
      <c r="IE38" s="290"/>
      <c r="IF38" s="290"/>
      <c r="IG38" s="290"/>
      <c r="IH38" s="290"/>
      <c r="II38" s="290"/>
      <c r="IJ38" s="290"/>
      <c r="IK38" s="290"/>
      <c r="IL38" s="290"/>
      <c r="IM38" s="290"/>
      <c r="IN38" s="207"/>
      <c r="IO38" s="207"/>
      <c r="IP38" s="290"/>
      <c r="IQ38" s="290"/>
      <c r="IR38" s="290"/>
      <c r="IS38" s="290"/>
      <c r="IT38" s="290"/>
      <c r="IU38" s="290"/>
      <c r="IV38" s="290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07"/>
      <c r="AB39" s="207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07"/>
      <c r="AO39" s="207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07"/>
      <c r="BB39" s="207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07"/>
      <c r="BO39" s="207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07"/>
      <c r="CB39" s="207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07"/>
      <c r="CO39" s="207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07"/>
      <c r="DB39" s="207"/>
      <c r="DC39" s="290"/>
      <c r="DD39" s="290"/>
      <c r="DE39" s="290"/>
      <c r="DF39" s="290"/>
      <c r="DG39" s="290"/>
      <c r="DH39" s="290"/>
      <c r="DI39" s="290"/>
      <c r="DJ39" s="290"/>
      <c r="DK39" s="290"/>
      <c r="DL39" s="290"/>
      <c r="DM39" s="290"/>
      <c r="DN39" s="207"/>
      <c r="DO39" s="207"/>
      <c r="DP39" s="290"/>
      <c r="DQ39" s="290"/>
      <c r="DR39" s="290"/>
      <c r="DS39" s="290"/>
      <c r="DT39" s="290"/>
      <c r="DU39" s="290"/>
      <c r="DV39" s="290"/>
      <c r="DW39" s="290"/>
      <c r="DX39" s="290"/>
      <c r="DY39" s="290"/>
      <c r="DZ39" s="290"/>
      <c r="EA39" s="207"/>
      <c r="EB39" s="207"/>
      <c r="EC39" s="290"/>
      <c r="ED39" s="290"/>
      <c r="EE39" s="290"/>
      <c r="EF39" s="290"/>
      <c r="EG39" s="290"/>
      <c r="EH39" s="290"/>
      <c r="EI39" s="290"/>
      <c r="EJ39" s="290"/>
      <c r="EK39" s="290"/>
      <c r="EL39" s="290"/>
      <c r="EM39" s="290"/>
      <c r="EN39" s="207"/>
      <c r="EO39" s="207"/>
      <c r="EP39" s="290"/>
      <c r="EQ39" s="290"/>
      <c r="ER39" s="290"/>
      <c r="ES39" s="290"/>
      <c r="ET39" s="290"/>
      <c r="EU39" s="290"/>
      <c r="EV39" s="290"/>
      <c r="EW39" s="290"/>
      <c r="EX39" s="290"/>
      <c r="EY39" s="290"/>
      <c r="EZ39" s="290"/>
      <c r="FA39" s="207"/>
      <c r="FB39" s="207"/>
      <c r="FC39" s="290"/>
      <c r="FD39" s="290"/>
      <c r="FE39" s="290"/>
      <c r="FF39" s="290"/>
      <c r="FG39" s="290"/>
      <c r="FH39" s="290"/>
      <c r="FI39" s="290"/>
      <c r="FJ39" s="290"/>
      <c r="FK39" s="290"/>
      <c r="FL39" s="290"/>
      <c r="FM39" s="290"/>
      <c r="FN39" s="207"/>
      <c r="FO39" s="207"/>
      <c r="FP39" s="290"/>
      <c r="FQ39" s="290"/>
      <c r="FR39" s="290"/>
      <c r="FS39" s="290"/>
      <c r="FT39" s="290"/>
      <c r="FU39" s="290"/>
      <c r="FV39" s="290"/>
      <c r="FW39" s="290"/>
      <c r="FX39" s="290"/>
      <c r="FY39" s="290"/>
      <c r="FZ39" s="290"/>
      <c r="GA39" s="207"/>
      <c r="GB39" s="207"/>
      <c r="GC39" s="290"/>
      <c r="GD39" s="290"/>
      <c r="GE39" s="290"/>
      <c r="GF39" s="290"/>
      <c r="GG39" s="290"/>
      <c r="GH39" s="290"/>
      <c r="GI39" s="290"/>
      <c r="GJ39" s="290"/>
      <c r="GK39" s="290"/>
      <c r="GL39" s="290"/>
      <c r="GM39" s="290"/>
      <c r="GN39" s="207"/>
      <c r="GO39" s="207"/>
      <c r="GP39" s="290"/>
      <c r="GQ39" s="290"/>
      <c r="GR39" s="290"/>
      <c r="GS39" s="290"/>
      <c r="GT39" s="290"/>
      <c r="GU39" s="290"/>
      <c r="GV39" s="290"/>
      <c r="GW39" s="290"/>
      <c r="GX39" s="290"/>
      <c r="GY39" s="290"/>
      <c r="GZ39" s="290"/>
      <c r="HA39" s="207"/>
      <c r="HB39" s="207"/>
      <c r="HC39" s="290"/>
      <c r="HD39" s="290"/>
      <c r="HE39" s="290"/>
      <c r="HF39" s="290"/>
      <c r="HG39" s="290"/>
      <c r="HH39" s="290"/>
      <c r="HI39" s="290"/>
      <c r="HJ39" s="290"/>
      <c r="HK39" s="290"/>
      <c r="HL39" s="290"/>
      <c r="HM39" s="290"/>
      <c r="HN39" s="207"/>
      <c r="HO39" s="207"/>
      <c r="HP39" s="290"/>
      <c r="HQ39" s="290"/>
      <c r="HR39" s="290"/>
      <c r="HS39" s="290"/>
      <c r="HT39" s="290"/>
      <c r="HU39" s="290"/>
      <c r="HV39" s="290"/>
      <c r="HW39" s="290"/>
      <c r="HX39" s="290"/>
      <c r="HY39" s="290"/>
      <c r="HZ39" s="290"/>
      <c r="IA39" s="207"/>
      <c r="IB39" s="207"/>
      <c r="IC39" s="290"/>
      <c r="ID39" s="290"/>
      <c r="IE39" s="290"/>
      <c r="IF39" s="290"/>
      <c r="IG39" s="290"/>
      <c r="IH39" s="290"/>
      <c r="II39" s="290"/>
      <c r="IJ39" s="290"/>
      <c r="IK39" s="290"/>
      <c r="IL39" s="290"/>
      <c r="IM39" s="290"/>
      <c r="IN39" s="207"/>
      <c r="IO39" s="207"/>
      <c r="IP39" s="290"/>
      <c r="IQ39" s="290"/>
      <c r="IR39" s="290"/>
      <c r="IS39" s="290"/>
      <c r="IT39" s="290"/>
      <c r="IU39" s="290"/>
      <c r="IV39" s="290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07"/>
      <c r="AB40" s="207"/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07"/>
      <c r="AO40" s="207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07"/>
      <c r="BB40" s="207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07"/>
      <c r="BO40" s="207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07"/>
      <c r="CB40" s="207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07"/>
      <c r="CO40" s="207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07"/>
      <c r="DB40" s="207"/>
      <c r="DC40" s="290"/>
      <c r="DD40" s="290"/>
      <c r="DE40" s="290"/>
      <c r="DF40" s="290"/>
      <c r="DG40" s="290"/>
      <c r="DH40" s="290"/>
      <c r="DI40" s="290"/>
      <c r="DJ40" s="290"/>
      <c r="DK40" s="290"/>
      <c r="DL40" s="290"/>
      <c r="DM40" s="290"/>
      <c r="DN40" s="207"/>
      <c r="DO40" s="207"/>
      <c r="DP40" s="290"/>
      <c r="DQ40" s="290"/>
      <c r="DR40" s="290"/>
      <c r="DS40" s="290"/>
      <c r="DT40" s="290"/>
      <c r="DU40" s="290"/>
      <c r="DV40" s="290"/>
      <c r="DW40" s="290"/>
      <c r="DX40" s="290"/>
      <c r="DY40" s="290"/>
      <c r="DZ40" s="290"/>
      <c r="EA40" s="207"/>
      <c r="EB40" s="207"/>
      <c r="EC40" s="290"/>
      <c r="ED40" s="290"/>
      <c r="EE40" s="290"/>
      <c r="EF40" s="290"/>
      <c r="EG40" s="290"/>
      <c r="EH40" s="290"/>
      <c r="EI40" s="290"/>
      <c r="EJ40" s="290"/>
      <c r="EK40" s="290"/>
      <c r="EL40" s="290"/>
      <c r="EM40" s="290"/>
      <c r="EN40" s="207"/>
      <c r="EO40" s="207"/>
      <c r="EP40" s="290"/>
      <c r="EQ40" s="290"/>
      <c r="ER40" s="290"/>
      <c r="ES40" s="290"/>
      <c r="ET40" s="290"/>
      <c r="EU40" s="290"/>
      <c r="EV40" s="290"/>
      <c r="EW40" s="290"/>
      <c r="EX40" s="290"/>
      <c r="EY40" s="290"/>
      <c r="EZ40" s="290"/>
      <c r="FA40" s="207"/>
      <c r="FB40" s="207"/>
      <c r="FC40" s="290"/>
      <c r="FD40" s="290"/>
      <c r="FE40" s="290"/>
      <c r="FF40" s="290"/>
      <c r="FG40" s="290"/>
      <c r="FH40" s="290"/>
      <c r="FI40" s="290"/>
      <c r="FJ40" s="290"/>
      <c r="FK40" s="290"/>
      <c r="FL40" s="290"/>
      <c r="FM40" s="290"/>
      <c r="FN40" s="207"/>
      <c r="FO40" s="207"/>
      <c r="FP40" s="290"/>
      <c r="FQ40" s="290"/>
      <c r="FR40" s="290"/>
      <c r="FS40" s="290"/>
      <c r="FT40" s="290"/>
      <c r="FU40" s="290"/>
      <c r="FV40" s="290"/>
      <c r="FW40" s="290"/>
      <c r="FX40" s="290"/>
      <c r="FY40" s="290"/>
      <c r="FZ40" s="290"/>
      <c r="GA40" s="207"/>
      <c r="GB40" s="207"/>
      <c r="GC40" s="290"/>
      <c r="GD40" s="290"/>
      <c r="GE40" s="290"/>
      <c r="GF40" s="290"/>
      <c r="GG40" s="290"/>
      <c r="GH40" s="290"/>
      <c r="GI40" s="290"/>
      <c r="GJ40" s="290"/>
      <c r="GK40" s="290"/>
      <c r="GL40" s="290"/>
      <c r="GM40" s="290"/>
      <c r="GN40" s="207"/>
      <c r="GO40" s="207"/>
      <c r="GP40" s="290"/>
      <c r="GQ40" s="290"/>
      <c r="GR40" s="290"/>
      <c r="GS40" s="290"/>
      <c r="GT40" s="290"/>
      <c r="GU40" s="290"/>
      <c r="GV40" s="290"/>
      <c r="GW40" s="290"/>
      <c r="GX40" s="290"/>
      <c r="GY40" s="290"/>
      <c r="GZ40" s="290"/>
      <c r="HA40" s="207"/>
      <c r="HB40" s="207"/>
      <c r="HC40" s="290"/>
      <c r="HD40" s="290"/>
      <c r="HE40" s="290"/>
      <c r="HF40" s="290"/>
      <c r="HG40" s="290"/>
      <c r="HH40" s="290"/>
      <c r="HI40" s="290"/>
      <c r="HJ40" s="290"/>
      <c r="HK40" s="290"/>
      <c r="HL40" s="290"/>
      <c r="HM40" s="290"/>
      <c r="HN40" s="207"/>
      <c r="HO40" s="207"/>
      <c r="HP40" s="290"/>
      <c r="HQ40" s="290"/>
      <c r="HR40" s="290"/>
      <c r="HS40" s="290"/>
      <c r="HT40" s="290"/>
      <c r="HU40" s="290"/>
      <c r="HV40" s="290"/>
      <c r="HW40" s="290"/>
      <c r="HX40" s="290"/>
      <c r="HY40" s="290"/>
      <c r="HZ40" s="290"/>
      <c r="IA40" s="207"/>
      <c r="IB40" s="207"/>
      <c r="IC40" s="290"/>
      <c r="ID40" s="290"/>
      <c r="IE40" s="290"/>
      <c r="IF40" s="290"/>
      <c r="IG40" s="290"/>
      <c r="IH40" s="290"/>
      <c r="II40" s="290"/>
      <c r="IJ40" s="290"/>
      <c r="IK40" s="290"/>
      <c r="IL40" s="290"/>
      <c r="IM40" s="290"/>
      <c r="IN40" s="207"/>
      <c r="IO40" s="207"/>
      <c r="IP40" s="290"/>
      <c r="IQ40" s="290"/>
      <c r="IR40" s="290"/>
      <c r="IS40" s="290"/>
      <c r="IT40" s="290"/>
      <c r="IU40" s="290"/>
      <c r="IV40" s="290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8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9" t="s">
        <v>848</v>
      </c>
      <c r="B72" s="289"/>
      <c r="C72" s="289"/>
      <c r="D72" s="289"/>
      <c r="E72" s="289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</row>
    <row r="74" spans="1:13" x14ac:dyDescent="0.2">
      <c r="A74" s="211"/>
      <c r="B74" s="211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</row>
    <row r="75" spans="1:13" x14ac:dyDescent="0.2">
      <c r="A75" s="211"/>
      <c r="B75" s="211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</row>
    <row r="76" spans="1:13" x14ac:dyDescent="0.2">
      <c r="A76" s="211"/>
      <c r="B76" s="211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</row>
    <row r="77" spans="1:13" x14ac:dyDescent="0.2">
      <c r="A77" s="211"/>
      <c r="B77" s="211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</row>
    <row r="78" spans="1:13" x14ac:dyDescent="0.2">
      <c r="A78" s="211"/>
      <c r="B78" s="211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</row>
    <row r="79" spans="1:13" x14ac:dyDescent="0.2">
      <c r="A79" s="211"/>
      <c r="B79" s="211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</row>
    <row r="80" spans="1:13" x14ac:dyDescent="0.2">
      <c r="A80" s="211"/>
      <c r="B80" s="211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</row>
    <row r="81" spans="1:13" x14ac:dyDescent="0.2">
      <c r="A81" s="211"/>
      <c r="B81" s="211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</row>
    <row r="82" spans="1:13" x14ac:dyDescent="0.2">
      <c r="A82" s="211"/>
      <c r="B82" s="211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</row>
    <row r="83" spans="1:13" x14ac:dyDescent="0.2">
      <c r="A83" s="211"/>
      <c r="B83" s="211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</row>
    <row r="84" spans="1:13" x14ac:dyDescent="0.2">
      <c r="A84" s="211"/>
      <c r="B84" s="211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</row>
    <row r="85" spans="1:13" x14ac:dyDescent="0.2">
      <c r="A85" s="211"/>
      <c r="B85" s="211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</row>
    <row r="86" spans="1:13" x14ac:dyDescent="0.2">
      <c r="A86" s="211"/>
      <c r="B86" s="211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</row>
    <row r="87" spans="1:13" x14ac:dyDescent="0.2">
      <c r="A87" s="211"/>
      <c r="B87" s="211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</row>
    <row r="88" spans="1:13" x14ac:dyDescent="0.2">
      <c r="A88" s="211"/>
      <c r="B88" s="211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</row>
    <row r="89" spans="1:13" x14ac:dyDescent="0.2">
      <c r="A89" s="211"/>
      <c r="B89" s="211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</row>
    <row r="90" spans="1:13" x14ac:dyDescent="0.2">
      <c r="A90" s="211"/>
      <c r="B90" s="211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</row>
  </sheetData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2016-09-01T12:16:43Z</cp:lastPrinted>
  <dcterms:created xsi:type="dcterms:W3CDTF">1997-12-04T19:04:30Z</dcterms:created>
  <dcterms:modified xsi:type="dcterms:W3CDTF">2016-11-30T16:37:41Z</dcterms:modified>
</cp:coreProperties>
</file>