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L418" i="1" l="1"/>
  <c r="L417" i="1"/>
  <c r="L416" i="1"/>
  <c r="L415" i="1"/>
  <c r="L414" i="1"/>
  <c r="F472" i="1"/>
  <c r="J595" i="1"/>
  <c r="J594" i="1"/>
  <c r="H595" i="1"/>
  <c r="H208" i="1"/>
  <c r="H244" i="1"/>
  <c r="F50" i="1"/>
  <c r="F24" i="1"/>
  <c r="G499" i="1"/>
  <c r="I499" i="1"/>
  <c r="H499" i="1"/>
  <c r="H543" i="1"/>
  <c r="H541" i="1"/>
  <c r="H538" i="1"/>
  <c r="H536" i="1"/>
  <c r="H611" i="1"/>
  <c r="G611" i="1"/>
  <c r="F611" i="1"/>
  <c r="H233" i="1"/>
  <c r="H197" i="1"/>
  <c r="J255" i="1"/>
  <c r="K261" i="1"/>
  <c r="K260" i="1"/>
  <c r="H314" i="1"/>
  <c r="H276" i="1"/>
  <c r="J243" i="1"/>
  <c r="J207" i="1"/>
  <c r="H604" i="1"/>
  <c r="J604" i="1"/>
  <c r="D11" i="13"/>
  <c r="D9" i="13"/>
  <c r="G233" i="1"/>
  <c r="F233" i="1"/>
  <c r="F197" i="1"/>
  <c r="G197" i="1"/>
  <c r="C12" i="12"/>
  <c r="B12" i="12"/>
  <c r="B11" i="12"/>
  <c r="B10" i="12"/>
  <c r="C11" i="12"/>
  <c r="C10" i="12"/>
  <c r="G198" i="1"/>
  <c r="C20" i="12"/>
  <c r="C21" i="12"/>
  <c r="C19" i="12"/>
  <c r="B21" i="12"/>
  <c r="B20" i="12"/>
  <c r="B19" i="12"/>
  <c r="C37" i="12"/>
  <c r="B37" i="12"/>
  <c r="J523" i="1"/>
  <c r="J521" i="1"/>
  <c r="J533" i="1"/>
  <c r="J531" i="1"/>
  <c r="J528" i="1"/>
  <c r="J526" i="1"/>
  <c r="I523" i="1"/>
  <c r="I521" i="1"/>
  <c r="I528" i="1"/>
  <c r="I526" i="1"/>
  <c r="H523" i="1"/>
  <c r="H521" i="1"/>
  <c r="H531" i="1"/>
  <c r="H528" i="1"/>
  <c r="H526" i="1"/>
  <c r="G533" i="1"/>
  <c r="G531" i="1"/>
  <c r="G528" i="1"/>
  <c r="G526" i="1"/>
  <c r="G521" i="1"/>
  <c r="G523" i="1"/>
  <c r="F526" i="1"/>
  <c r="F523" i="1"/>
  <c r="F521" i="1"/>
  <c r="F528" i="1"/>
  <c r="F533" i="1"/>
  <c r="F531" i="1"/>
  <c r="H63" i="1"/>
  <c r="H245" i="1"/>
  <c r="H209" i="1"/>
  <c r="I243" i="1"/>
  <c r="H243" i="1"/>
  <c r="G243" i="1"/>
  <c r="F243" i="1"/>
  <c r="I207" i="1"/>
  <c r="H207" i="1"/>
  <c r="G207" i="1"/>
  <c r="F207" i="1"/>
  <c r="K240" i="1"/>
  <c r="J240" i="1"/>
  <c r="I240" i="1"/>
  <c r="H240" i="1"/>
  <c r="G240" i="1"/>
  <c r="F240" i="1"/>
  <c r="K204" i="1"/>
  <c r="J204" i="1"/>
  <c r="I204" i="1"/>
  <c r="H204" i="1"/>
  <c r="G204" i="1"/>
  <c r="F204" i="1"/>
  <c r="I239" i="1"/>
  <c r="H239" i="1"/>
  <c r="H238" i="1"/>
  <c r="I203" i="1"/>
  <c r="H203" i="1"/>
  <c r="H202" i="1"/>
  <c r="H236" i="1"/>
  <c r="H234" i="1"/>
  <c r="F234" i="1"/>
  <c r="K234" i="1"/>
  <c r="J234" i="1"/>
  <c r="I234" i="1"/>
  <c r="G234" i="1"/>
  <c r="J233" i="1"/>
  <c r="I233" i="1"/>
  <c r="H198" i="1"/>
  <c r="F198" i="1"/>
  <c r="K198" i="1"/>
  <c r="J198" i="1"/>
  <c r="I198" i="1"/>
  <c r="J197" i="1"/>
  <c r="I197" i="1"/>
  <c r="H320" i="1"/>
  <c r="I320" i="1"/>
  <c r="I282" i="1"/>
  <c r="H282" i="1"/>
  <c r="H319" i="1"/>
  <c r="H281" i="1"/>
  <c r="I277" i="1"/>
  <c r="I315" i="1"/>
  <c r="H315" i="1"/>
  <c r="H277" i="1"/>
  <c r="G315" i="1"/>
  <c r="F315" i="1"/>
  <c r="G277" i="1"/>
  <c r="F277" i="1"/>
  <c r="J314" i="1"/>
  <c r="K276" i="1"/>
  <c r="J276" i="1"/>
  <c r="I276" i="1"/>
  <c r="G276" i="1"/>
  <c r="F276" i="1"/>
  <c r="I317" i="1"/>
  <c r="I314" i="1"/>
  <c r="G314" i="1"/>
  <c r="F314" i="1"/>
  <c r="H235" i="1"/>
  <c r="I241" i="1"/>
  <c r="H241" i="1"/>
  <c r="G241" i="1"/>
  <c r="F241" i="1"/>
  <c r="J239" i="1"/>
  <c r="G239" i="1"/>
  <c r="F239" i="1"/>
  <c r="I238" i="1"/>
  <c r="G238" i="1"/>
  <c r="F238" i="1"/>
  <c r="J238" i="1"/>
  <c r="K236" i="1"/>
  <c r="J236" i="1"/>
  <c r="I236" i="1"/>
  <c r="G236" i="1"/>
  <c r="F236" i="1"/>
  <c r="K233" i="1"/>
  <c r="H205" i="1"/>
  <c r="J205" i="1"/>
  <c r="I205" i="1"/>
  <c r="G205" i="1"/>
  <c r="F205" i="1"/>
  <c r="J203" i="1"/>
  <c r="G203" i="1"/>
  <c r="F203" i="1"/>
  <c r="I202" i="1"/>
  <c r="G202" i="1"/>
  <c r="F202" i="1"/>
  <c r="K200" i="1"/>
  <c r="J200" i="1"/>
  <c r="I200" i="1"/>
  <c r="H200" i="1"/>
  <c r="G200" i="1"/>
  <c r="F200" i="1"/>
  <c r="K197" i="1"/>
  <c r="F582" i="1"/>
  <c r="H582" i="1"/>
  <c r="F583" i="1"/>
  <c r="J591" i="1"/>
  <c r="J592" i="1"/>
  <c r="H592" i="1"/>
  <c r="H594" i="1"/>
  <c r="I492" i="1"/>
  <c r="H492" i="1"/>
  <c r="I491" i="1"/>
  <c r="H491" i="1"/>
  <c r="F499" i="1"/>
  <c r="F498" i="1"/>
  <c r="F468" i="1"/>
  <c r="H472" i="1"/>
  <c r="H468" i="1"/>
  <c r="H379" i="1"/>
  <c r="H360" i="1"/>
  <c r="H358" i="1"/>
  <c r="G97" i="1"/>
  <c r="H159" i="1"/>
  <c r="H155" i="1"/>
  <c r="H154" i="1"/>
  <c r="H49" i="1"/>
  <c r="G49" i="1"/>
  <c r="I49" i="1"/>
  <c r="G30" i="1"/>
  <c r="G24" i="1"/>
  <c r="H22" i="1"/>
  <c r="F9" i="1"/>
  <c r="F28" i="1"/>
  <c r="H14" i="1"/>
  <c r="G14" i="1"/>
  <c r="H13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79" i="1"/>
  <c r="F94" i="1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C15" i="10"/>
  <c r="C16" i="10"/>
  <c r="C17" i="10"/>
  <c r="C18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/>
  <c r="F128" i="2"/>
  <c r="G128" i="2"/>
  <c r="C130" i="2"/>
  <c r="E130" i="2"/>
  <c r="F130" i="2"/>
  <c r="D134" i="2"/>
  <c r="D144" i="2"/>
  <c r="D145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19" i="1"/>
  <c r="H19" i="1"/>
  <c r="I19" i="1"/>
  <c r="F32" i="1"/>
  <c r="F52" i="1"/>
  <c r="G32" i="1"/>
  <c r="H32" i="1"/>
  <c r="I32" i="1"/>
  <c r="H617" i="1"/>
  <c r="G52" i="1"/>
  <c r="H618" i="1"/>
  <c r="H51" i="1"/>
  <c r="H52" i="1"/>
  <c r="H619" i="1"/>
  <c r="I51" i="1"/>
  <c r="I52" i="1"/>
  <c r="H620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/>
  <c r="K337" i="1"/>
  <c r="K338" i="1"/>
  <c r="K352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/>
  <c r="G257" i="1"/>
  <c r="G271" i="1"/>
  <c r="G164" i="2"/>
  <c r="C18" i="2"/>
  <c r="C26" i="10"/>
  <c r="L351" i="1"/>
  <c r="I662" i="1"/>
  <c r="A31" i="12"/>
  <c r="C70" i="2"/>
  <c r="A40" i="12"/>
  <c r="D12" i="13"/>
  <c r="C12" i="13"/>
  <c r="D62" i="2"/>
  <c r="D63" i="2"/>
  <c r="D18" i="13"/>
  <c r="C18" i="13"/>
  <c r="D15" i="13"/>
  <c r="C15" i="13"/>
  <c r="D7" i="13"/>
  <c r="C7" i="13"/>
  <c r="D18" i="2"/>
  <c r="D17" i="13"/>
  <c r="C17" i="13"/>
  <c r="D6" i="13"/>
  <c r="C6" i="13"/>
  <c r="E8" i="13"/>
  <c r="C8" i="13"/>
  <c r="C91" i="2"/>
  <c r="F78" i="2"/>
  <c r="F81" i="2"/>
  <c r="D31" i="2"/>
  <c r="C128" i="2"/>
  <c r="C78" i="2"/>
  <c r="C81" i="2"/>
  <c r="D50" i="2"/>
  <c r="G157" i="2"/>
  <c r="F18" i="2"/>
  <c r="G161" i="2"/>
  <c r="G156" i="2"/>
  <c r="E103" i="2"/>
  <c r="D91" i="2"/>
  <c r="E62" i="2"/>
  <c r="E63" i="2"/>
  <c r="E31" i="2"/>
  <c r="G62" i="2"/>
  <c r="D29" i="13"/>
  <c r="C29" i="13"/>
  <c r="D19" i="13"/>
  <c r="C19" i="13"/>
  <c r="D14" i="13"/>
  <c r="C14" i="13"/>
  <c r="E13" i="13"/>
  <c r="C13" i="13"/>
  <c r="E78" i="2"/>
  <c r="E81" i="2"/>
  <c r="L427" i="1"/>
  <c r="J257" i="1"/>
  <c r="J271" i="1"/>
  <c r="H112" i="1"/>
  <c r="F112" i="1"/>
  <c r="J641" i="1"/>
  <c r="J639" i="1"/>
  <c r="K605" i="1"/>
  <c r="G648" i="1"/>
  <c r="J571" i="1"/>
  <c r="K571" i="1"/>
  <c r="L433" i="1"/>
  <c r="L419" i="1"/>
  <c r="D81" i="2"/>
  <c r="I169" i="1"/>
  <c r="H169" i="1"/>
  <c r="G552" i="1"/>
  <c r="J644" i="1"/>
  <c r="J643" i="1"/>
  <c r="J476" i="1"/>
  <c r="H626" i="1"/>
  <c r="H476" i="1"/>
  <c r="H624" i="1"/>
  <c r="J624" i="1"/>
  <c r="I476" i="1"/>
  <c r="H625" i="1"/>
  <c r="J625" i="1"/>
  <c r="G476" i="1"/>
  <c r="H623" i="1"/>
  <c r="J623" i="1"/>
  <c r="G338" i="1"/>
  <c r="G352" i="1"/>
  <c r="F169" i="1"/>
  <c r="J140" i="1"/>
  <c r="F571" i="1"/>
  <c r="H257" i="1"/>
  <c r="H271" i="1"/>
  <c r="I552" i="1"/>
  <c r="K549" i="1"/>
  <c r="K550" i="1"/>
  <c r="G22" i="2"/>
  <c r="K598" i="1"/>
  <c r="G647" i="1"/>
  <c r="J647" i="1"/>
  <c r="K545" i="1"/>
  <c r="J552" i="1"/>
  <c r="H552" i="1"/>
  <c r="C29" i="10"/>
  <c r="I661" i="1"/>
  <c r="H140" i="1"/>
  <c r="L401" i="1"/>
  <c r="C139" i="2"/>
  <c r="L393" i="1"/>
  <c r="A13" i="12"/>
  <c r="F22" i="13"/>
  <c r="H25" i="13"/>
  <c r="C25" i="13"/>
  <c r="J651" i="1"/>
  <c r="J640" i="1"/>
  <c r="J634" i="1"/>
  <c r="H571" i="1"/>
  <c r="L560" i="1"/>
  <c r="J545" i="1"/>
  <c r="H338" i="1"/>
  <c r="H352" i="1"/>
  <c r="F338" i="1"/>
  <c r="F352" i="1"/>
  <c r="G192" i="1"/>
  <c r="H192" i="1"/>
  <c r="E128" i="2"/>
  <c r="F552" i="1"/>
  <c r="C35" i="10"/>
  <c r="L309" i="1"/>
  <c r="D5" i="13"/>
  <c r="C5" i="13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/>
  <c r="C22" i="13"/>
  <c r="C138" i="2"/>
  <c r="H33" i="13"/>
  <c r="C20" i="10"/>
  <c r="E33" i="13"/>
  <c r="D35" i="13"/>
  <c r="C16" i="13"/>
  <c r="L328" i="1"/>
  <c r="H660" i="1"/>
  <c r="H664" i="1"/>
  <c r="H667" i="1"/>
  <c r="C10" i="10"/>
  <c r="L290" i="1"/>
  <c r="E109" i="2"/>
  <c r="E115" i="2"/>
  <c r="C11" i="10"/>
  <c r="I257" i="1"/>
  <c r="I271" i="1"/>
  <c r="C110" i="2"/>
  <c r="C115" i="2"/>
  <c r="L211" i="1"/>
  <c r="F660" i="1"/>
  <c r="K500" i="1"/>
  <c r="C62" i="2"/>
  <c r="F476" i="1"/>
  <c r="H622" i="1"/>
  <c r="J622" i="1"/>
  <c r="C63" i="2"/>
  <c r="J617" i="1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F31" i="2"/>
  <c r="C31" i="2"/>
  <c r="E18" i="2"/>
  <c r="E144" i="2"/>
  <c r="F50" i="2"/>
  <c r="F51" i="2"/>
  <c r="L338" i="1"/>
  <c r="L352" i="1"/>
  <c r="G633" i="1"/>
  <c r="J633" i="1"/>
  <c r="C24" i="10"/>
  <c r="G660" i="1"/>
  <c r="G664" i="1"/>
  <c r="G31" i="13"/>
  <c r="G33" i="13"/>
  <c r="I338" i="1"/>
  <c r="I352" i="1"/>
  <c r="J650" i="1"/>
  <c r="L407" i="1"/>
  <c r="C140" i="2"/>
  <c r="C141" i="2"/>
  <c r="C144" i="2"/>
  <c r="L571" i="1"/>
  <c r="I192" i="1"/>
  <c r="E91" i="2"/>
  <c r="L408" i="1"/>
  <c r="G637" i="1"/>
  <c r="J637" i="1"/>
  <c r="D51" i="2"/>
  <c r="J654" i="1"/>
  <c r="J653" i="1"/>
  <c r="F144" i="2"/>
  <c r="F145" i="2" s="1"/>
  <c r="G21" i="2"/>
  <c r="G31" i="2"/>
  <c r="J32" i="1"/>
  <c r="L434" i="1"/>
  <c r="G638" i="1"/>
  <c r="J638" i="1"/>
  <c r="J434" i="1"/>
  <c r="F434" i="1"/>
  <c r="K434" i="1"/>
  <c r="G134" i="2"/>
  <c r="G144" i="2"/>
  <c r="G145" i="2"/>
  <c r="F31" i="13"/>
  <c r="J193" i="1"/>
  <c r="G646" i="1"/>
  <c r="F104" i="2"/>
  <c r="H193" i="1"/>
  <c r="G629" i="1"/>
  <c r="J629" i="1"/>
  <c r="G169" i="1"/>
  <c r="C39" i="10"/>
  <c r="G140" i="1"/>
  <c r="F140" i="1"/>
  <c r="F193" i="1"/>
  <c r="G627" i="1"/>
  <c r="J627" i="1"/>
  <c r="C36" i="10"/>
  <c r="G63" i="2"/>
  <c r="J618" i="1"/>
  <c r="G667" i="1"/>
  <c r="G672" i="1"/>
  <c r="C5" i="10"/>
  <c r="G42" i="2"/>
  <c r="J51" i="1"/>
  <c r="G16" i="2"/>
  <c r="G18" i="2"/>
  <c r="J19" i="1"/>
  <c r="G621" i="1"/>
  <c r="F33" i="13"/>
  <c r="F545" i="1"/>
  <c r="H434" i="1"/>
  <c r="J620" i="1"/>
  <c r="J619" i="1"/>
  <c r="D103" i="2"/>
  <c r="D104" i="2"/>
  <c r="I140" i="1"/>
  <c r="I193" i="1"/>
  <c r="G630" i="1"/>
  <c r="J630" i="1"/>
  <c r="A22" i="12"/>
  <c r="H646" i="1"/>
  <c r="G50" i="2"/>
  <c r="G51" i="2"/>
  <c r="H648" i="1"/>
  <c r="J648" i="1"/>
  <c r="C104" i="2"/>
  <c r="J652" i="1"/>
  <c r="J642" i="1"/>
  <c r="G571" i="1"/>
  <c r="I434" i="1"/>
  <c r="G434" i="1"/>
  <c r="E104" i="2"/>
  <c r="I663" i="1"/>
  <c r="C27" i="10"/>
  <c r="G635" i="1"/>
  <c r="J635" i="1"/>
  <c r="E145" i="2"/>
  <c r="H672" i="1"/>
  <c r="C6" i="10" s="1"/>
  <c r="C28" i="10"/>
  <c r="D23" i="10"/>
  <c r="D31" i="13"/>
  <c r="C31" i="13"/>
  <c r="C145" i="2"/>
  <c r="F664" i="1"/>
  <c r="I660" i="1"/>
  <c r="I664" i="1"/>
  <c r="I672" i="1"/>
  <c r="C7" i="10"/>
  <c r="L257" i="1"/>
  <c r="L271" i="1"/>
  <c r="G632" i="1"/>
  <c r="J632" i="1"/>
  <c r="G104" i="2"/>
  <c r="C51" i="2"/>
  <c r="G631" i="1"/>
  <c r="J631" i="1"/>
  <c r="D33" i="13"/>
  <c r="D36" i="13"/>
  <c r="J646" i="1"/>
  <c r="G193" i="1"/>
  <c r="G628" i="1"/>
  <c r="J628" i="1"/>
  <c r="G626" i="1"/>
  <c r="J626" i="1"/>
  <c r="J52" i="1"/>
  <c r="H621" i="1"/>
  <c r="J621" i="1"/>
  <c r="C38" i="10"/>
  <c r="D24" i="10"/>
  <c r="D19" i="10"/>
  <c r="D12" i="10"/>
  <c r="D25" i="10"/>
  <c r="D17" i="10"/>
  <c r="D15" i="10"/>
  <c r="D18" i="10"/>
  <c r="D20" i="10"/>
  <c r="D27" i="10"/>
  <c r="D10" i="10"/>
  <c r="D13" i="10"/>
  <c r="D26" i="10"/>
  <c r="D11" i="10"/>
  <c r="C30" i="10"/>
  <c r="D21" i="10"/>
  <c r="D16" i="10"/>
  <c r="D22" i="10"/>
  <c r="F672" i="1"/>
  <c r="C4" i="10"/>
  <c r="F667" i="1"/>
  <c r="I667" i="1"/>
  <c r="H656" i="1"/>
  <c r="C41" i="10"/>
  <c r="D38" i="10"/>
  <c r="D28" i="10"/>
  <c r="D37" i="10"/>
  <c r="D36" i="10"/>
  <c r="D35" i="10"/>
  <c r="D40" i="10"/>
  <c r="D39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<sst xmlns="http://schemas.openxmlformats.org/spreadsheetml/2006/main" count="3976" uniqueCount="921">
  <si>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</si>
  <si>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</si>
  <si>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</si>
  <si>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</si>
  <si>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</si>
  <si>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</si>
  <si>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</si>
  <si>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</si>
  <si>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</si>
  <si>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</si>
  <si>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</si>
  <si>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</si>
  <si>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</si>
  <si>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</si>
  <si>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</si>
  <si>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</si>
  <si>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</si>
  <si>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</si>
  <si>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</si>
  <si>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</si>
  <si>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</si>
  <si>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</si>
  <si>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</si>
  <si>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</si>
  <si>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</si>
  <si>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</si>
  <si>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</si>
  <si>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</si>
  <si>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</si>
  <si>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</si>
  <si>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</si>
  <si>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</si>
  <si>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</si>
  <si>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</si>
  <si>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</si>
  <si>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</si>
  <si>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</si>
  <si>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</si>
  <si>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</si>
  <si>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</si>
  <si>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</si>
  <si>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</si>
  <si>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</si>
  <si>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</si>
  <si>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</si>
  <si>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</si>
  <si>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</si>
  <si>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</si>
  <si>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</si>
  <si>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</si>
  <si>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</si>
  <si>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</si>
  <si>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</si>
  <si>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</si>
  <si>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</si>
  <si>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</si>
  <si>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</si>
  <si>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</si>
  <si>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</si>
  <si>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</si>
  <si>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</si>
  <si>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</si>
  <si>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</si>
  <si>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</si>
  <si>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</si>
  <si>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</si>
  <si>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</si>
  <si>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</si>
  <si>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</si>
  <si>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</si>
  <si>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</si>
  <si>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</si>
  <si>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</si>
  <si>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</si>
  <si>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</si>
  <si>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</si>
  <si>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</si>
  <si>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</si>
  <si>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</si>
  <si>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</si>
  <si>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</si>
  <si>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</si>
  <si>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</si>
  <si>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</si>
  <si>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</si>
  <si>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</si>
  <si>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</si>
  <si>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</si>
  <si>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</si>
  <si>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</si>
  <si>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</si>
  <si>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</si>
  <si>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</si>
  <si>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</si>
  <si>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</si>
  <si>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</si>
  <si>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</si>
  <si>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</si>
  <si>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</si>
  <si>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</si>
  <si>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</si>
  <si>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</si>
  <si>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</si>
  <si>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</si>
  <si>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</si>
  <si>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</si>
  <si>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</si>
  <si>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</si>
  <si>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</si>
  <si>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</si>
  <si>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</si>
  <si>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</si>
  <si>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</si>
  <si>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</si>
  <si>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</si>
  <si>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</si>
  <si>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</si>
  <si>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</si>
  <si>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</si>
  <si>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</si>
  <si>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</si>
  <si>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</si>
  <si>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</si>
  <si>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</si>
  <si>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</si>
  <si>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</si>
  <si>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</si>
  <si>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</si>
  <si>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</si>
  <si>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</si>
  <si>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</si>
  <si>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</si>
  <si>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</si>
  <si>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</si>
  <si>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</si>
  <si>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</si>
  <si>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</si>
  <si>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</si>
  <si>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</si>
  <si>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</si>
  <si>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</si>
  <si>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</si>
  <si>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</si>
  <si>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</si>
  <si>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</si>
  <si>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</si>
  <si>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</si>
  <si>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</si>
  <si>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</si>
  <si>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</si>
  <si>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</si>
  <si>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</si>
  <si>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</si>
  <si>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</si>
  <si>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</si>
  <si>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</si>
  <si>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</si>
  <si>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</si>
  <si>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</si>
  <si>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</si>
  <si>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</si>
  <si>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</si>
  <si>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</si>
  <si>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</si>
  <si>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</si>
  <si>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</si>
  <si>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</si>
  <si>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</si>
  <si>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</si>
  <si>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</si>
  <si>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</si>
  <si>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</si>
  <si>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</si>
  <si>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</si>
  <si>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</si>
  <si>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</si>
  <si>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</si>
  <si>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</si>
  <si>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</si>
  <si>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</si>
  <si>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</si>
  <si>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</si>
  <si>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</si>
  <si>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</si>
  <si>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</si>
  <si>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</si>
  <si>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</si>
  <si>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</si>
  <si>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</si>
  <si>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</si>
  <si>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</si>
  <si>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</si>
  <si>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</si>
  <si>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</si>
  <si>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</si>
  <si>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</si>
  <si>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</si>
  <si>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</si>
  <si>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</si>
  <si>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</si>
  <si>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</si>
  <si>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</si>
  <si>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</si>
  <si>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</si>
  <si>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</si>
  <si>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</si>
  <si>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</si>
  <si>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</si>
  <si>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</si>
  <si>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</si>
  <si>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</si>
  <si>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</si>
  <si>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</si>
  <si>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</si>
  <si>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</si>
  <si>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</si>
  <si>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</si>
  <si>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</si>
  <si>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</si>
  <si>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</si>
  <si>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</si>
  <si>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</si>
  <si>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</si>
  <si>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</si>
  <si>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</si>
  <si>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</si>
  <si>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</si>
  <si>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</si>
  <si>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</si>
  <si>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</si>
  <si>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</si>
  <si>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</si>
  <si>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</si>
  <si>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</si>
  <si>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</si>
  <si>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</si>
  <si>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</si>
  <si>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</si>
  <si>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</si>
  <si>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</si>
  <si>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</si>
  <si>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</si>
  <si>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</si>
  <si>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</si>
  <si>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</si>
  <si>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</si>
  <si>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</si>
  <si>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</si>
  <si>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</si>
  <si>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</si>
  <si>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</si>
  <si>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</si>
  <si>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</si>
  <si>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</si>
  <si>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</si>
  <si>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</si>
  <si>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</si>
  <si>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</si>
  <si>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</si>
  <si>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</si>
  <si>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</si>
  <si>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</si>
  <si>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</si>
  <si>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</si>
  <si>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</si>
  <si>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</si>
  <si>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</si>
  <si>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</si>
  <si>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</si>
  <si>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</si>
  <si>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</si>
  <si>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</si>
  <si>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</si>
  <si>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</si>
  <si>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</si>
  <si>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</si>
  <si>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</si>
  <si>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</si>
  <si>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</si>
  <si>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</si>
  <si>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</si>
  <si>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</si>
  <si>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</si>
  <si>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</si>
  <si>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</si>
  <si>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</si>
  <si>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</si>
  <si>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</si>
  <si>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</si>
  <si>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</si>
  <si>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</si>
  <si>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</si>
  <si>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</si>
  <si>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</si>
  <si>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</si>
  <si>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</si>
  <si>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</si>
  <si>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</si>
  <si>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</si>
  <si>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</si>
  <si>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</si>
  <si>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</si>
  <si>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</si>
  <si>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</si>
  <si>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</si>
  <si>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</si>
  <si>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</si>
  <si>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</si>
  <si>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</si>
  <si>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</si>
  <si>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</si>
  <si>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</si>
  <si>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</si>
  <si>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</si>
  <si>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</si>
  <si>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</si>
  <si>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</si>
  <si>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</si>
  <si>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</si>
  <si>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</si>
  <si>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</si>
  <si>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</si>
  <si>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</si>
  <si>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</si>
  <si>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</si>
  <si>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</si>
  <si>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</si>
  <si>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</si>
  <si>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</si>
  <si>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</si>
  <si>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</si>
  <si>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</si>
  <si>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</si>
  <si>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</si>
  <si>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</si>
  <si>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</si>
  <si>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</si>
  <si>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</si>
  <si>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</si>
  <si>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</si>
  <si>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</si>
  <si>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</si>
  <si>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</si>
  <si>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</si>
  <si>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</si>
  <si>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</si>
  <si>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</si>
  <si>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</si>
  <si>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</si>
  <si>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</si>
  <si>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</si>
  <si>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</si>
  <si>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</si>
  <si>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</si>
  <si>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</si>
  <si>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</si>
  <si>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</si>
  <si>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</si>
  <si>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</si>
  <si>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</si>
  <si>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</si>
  <si>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</si>
  <si>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</si>
  <si>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</si>
  <si>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</si>
  <si>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</si>
  <si>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</si>
  <si>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</si>
  <si>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</si>
  <si>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</si>
  <si>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</si>
  <si>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</si>
  <si>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</si>
  <si>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</si>
  <si>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</si>
  <si>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</si>
  <si>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</si>
  <si>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</si>
  <si>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</si>
  <si>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</si>
  <si>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</si>
  <si>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</si>
  <si>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</si>
  <si>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</si>
  <si>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</si>
  <si>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</si>
  <si>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</si>
  <si>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</si>
  <si>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</si>
  <si>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</si>
  <si>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</si>
  <si>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</si>
  <si>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</si>
  <si>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</si>
  <si>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</si>
  <si>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</si>
  <si>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</si>
  <si>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</si>
  <si>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</si>
  <si>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</si>
  <si>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</si>
  <si>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</si>
  <si>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</si>
  <si>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</si>
  <si>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</si>
  <si>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</si>
  <si>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</si>
  <si>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</si>
  <si>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</si>
  <si>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</si>
  <si>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</si>
  <si>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</si>
  <si>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</si>
  <si>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</si>
  <si>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</si>
  <si>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</si>
  <si>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</si>
  <si>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</si>
  <si>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</si>
  <si>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</si>
  <si>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</si>
  <si>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</si>
  <si>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</si>
  <si>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</si>
  <si>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</si>
  <si>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</si>
  <si>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</si>
  <si>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</si>
  <si>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</si>
  <si>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</si>
  <si>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</si>
  <si>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</si>
  <si>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</si>
  <si>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</si>
  <si>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</si>
  <si>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</si>
  <si>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</si>
  <si>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</si>
  <si>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</si>
  <si>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</si>
  <si>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</si>
  <si>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</si>
  <si>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</si>
  <si>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</si>
  <si>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</si>
  <si>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</si>
  <si>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</si>
  <si>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</si>
  <si>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</si>
  <si>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</si>
  <si>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</si>
  <si>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</si>
  <si>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</si>
  <si>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</si>
  <si>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</si>
  <si>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</si>
  <si>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</si>
  <si>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</si>
  <si>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</si>
  <si>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</si>
  <si>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</si>
  <si>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</si>
  <si>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</si>
  <si>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</si>
  <si>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</si>
  <si>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</si>
  <si>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</si>
  <si>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</si>
  <si>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</si>
  <si>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</si>
  <si>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</si>
  <si>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</si>
  <si>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</si>
  <si>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</si>
  <si>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</si>
  <si>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</si>
  <si>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</si>
  <si>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</si>
  <si>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</si>
  <si>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</si>
  <si>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</si>
  <si>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</si>
  <si>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</si>
  <si>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</si>
  <si>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</si>
  <si>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</si>
  <si>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</si>
  <si>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</si>
  <si>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</si>
  <si>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</si>
  <si>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</si>
  <si>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</si>
  <si>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</si>
  <si>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</si>
  <si>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</si>
  <si>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</si>
  <si>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</si>
  <si>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</si>
  <si>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</si>
  <si>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</si>
  <si>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</si>
  <si>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</si>
  <si>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</si>
  <si>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</si>
  <si>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</si>
  <si>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</si>
  <si>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</si>
  <si>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</si>
  <si>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</si>
  <si>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</si>
  <si>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</si>
  <si>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</si>
  <si>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</si>
  <si>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</si>
  <si>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</si>
  <si>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</si>
  <si>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</si>
  <si>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</si>
  <si>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</si>
  <si>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</si>
  <si>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</si>
  <si>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</si>
  <si>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</si>
  <si>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</si>
  <si>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</si>
  <si>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</si>
  <si>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</si>
  <si>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</si>
  <si>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</si>
  <si>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</si>
  <si>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</si>
  <si>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</si>
  <si>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</si>
  <si>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</si>
  <si>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</si>
  <si>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</si>
  <si>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</si>
  <si>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</si>
  <si>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</si>
  <si>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</si>
  <si>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</si>
  <si>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</si>
  <si>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</si>
  <si>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</si>
  <si>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</si>
  <si>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</si>
  <si>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</si>
  <si>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</si>
  <si>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</si>
  <si>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</si>
  <si>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</si>
  <si>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</si>
  <si>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</si>
  <si>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</si>
  <si>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</si>
  <si>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</si>
  <si>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</si>
  <si>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</si>
  <si>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</si>
  <si>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</si>
  <si>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</si>
  <si>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</si>
  <si>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</si>
  <si>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</si>
  <si>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</si>
  <si>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</si>
  <si>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</si>
  <si>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</si>
  <si>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</si>
  <si>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</si>
  <si>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</si>
  <si>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</si>
  <si>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</si>
  <si>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</si>
  <si>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</si>
  <si>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</si>
  <si>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</si>
  <si>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</si>
  <si>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</si>
  <si>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</si>
  <si>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</si>
  <si>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</si>
  <si>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</si>
  <si>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</si>
  <si>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</si>
  <si>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</si>
  <si>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</si>
  <si>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</si>
  <si>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</si>
  <si>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</si>
  <si>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</si>
  <si>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</si>
  <si>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</si>
  <si>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</si>
  <si>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</si>
  <si>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</si>
  <si>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</si>
  <si>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</si>
  <si>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</si>
  <si>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</si>
  <si>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</si>
  <si>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</si>
  <si>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</si>
  <si>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</si>
  <si>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</si>
  <si>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</si>
  <si>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</si>
  <si>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</si>
  <si>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</si>
  <si>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</si>
  <si>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</si>
  <si>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</si>
  <si>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</si>
  <si>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</si>
  <si>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</si>
  <si>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</si>
  <si>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</si>
  <si>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</si>
  <si>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</si>
  <si>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</si>
  <si>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</si>
  <si>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</si>
  <si>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</si>
  <si>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</si>
  <si>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</si>
  <si>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</si>
  <si>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</si>
  <si>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</si>
  <si>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</si>
  <si>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</si>
  <si>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</si>
  <si>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</si>
  <si>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</si>
  <si>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</si>
  <si>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</si>
  <si>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</si>
  <si>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</si>
  <si>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</si>
  <si>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</si>
  <si>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</si>
  <si>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</si>
  <si>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</si>
  <si>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</si>
  <si>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</si>
  <si>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</si>
  <si>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</si>
  <si>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</si>
  <si>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</si>
  <si>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</si>
  <si>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</si>
  <si>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</si>
  <si>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</si>
  <si>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</si>
  <si>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</si>
  <si>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</si>
  <si>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</si>
  <si>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</si>
  <si>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</si>
  <si>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</si>
  <si>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</si>
  <si>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</si>
  <si>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</si>
  <si>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</si>
  <si>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</si>
  <si>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</si>
  <si>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</si>
  <si>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</si>
  <si>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</si>
  <si>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</si>
  <si>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</si>
  <si>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</si>
  <si>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</si>
  <si>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</si>
  <si>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</si>
  <si>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</si>
  <si>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</si>
  <si>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</si>
  <si>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</si>
  <si>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</si>
  <si>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</si>
  <si>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</si>
  <si>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</si>
  <si>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</si>
  <si>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</si>
  <si>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</si>
  <si>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</si>
  <si>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</si>
  <si>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</si>
  <si>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</si>
  <si>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</si>
  <si>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</si>
  <si>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</si>
  <si>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</si>
  <si>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</si>
  <si>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</si>
  <si>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</si>
  <si>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</si>
  <si>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</si>
  <si>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</si>
  <si>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</si>
  <si>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</si>
  <si>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</si>
  <si>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</si>
  <si>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</si>
  <si>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</si>
  <si>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</si>
  <si>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</si>
  <si>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</si>
  <si>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</si>
  <si>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</si>
  <si>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</si>
  <si>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</si>
  <si>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</si>
  <si>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</si>
  <si>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</si>
  <si>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</si>
  <si>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</si>
  <si>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</si>
  <si>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</si>
  <si>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</si>
  <si>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</si>
  <si>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</si>
  <si>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</si>
  <si>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</si>
  <si>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</si>
  <si>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</si>
  <si>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</si>
  <si>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</si>
  <si>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</si>
  <si>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</si>
  <si>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</si>
  <si>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</si>
  <si>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</si>
  <si>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</si>
  <si>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</si>
  <si>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</si>
  <si>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</si>
  <si>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</si>
  <si>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</si>
  <si>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</si>
  <si>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</si>
  <si>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</si>
  <si>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</si>
  <si>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</si>
  <si>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</si>
  <si>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</si>
  <si>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</si>
  <si>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</si>
  <si>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</si>
  <si>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</si>
  <si>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</si>
  <si>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</si>
  <si>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</si>
  <si>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</si>
  <si>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</si>
  <si>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</si>
  <si>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</si>
  <si>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</si>
  <si>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</si>
  <si>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</si>
  <si>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</si>
  <si>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</si>
  <si>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</si>
  <si>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</si>
  <si>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</si>
  <si>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</si>
  <si>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</si>
  <si>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</si>
  <si>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</si>
  <si>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</si>
  <si>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</si>
  <si>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</si>
  <si>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</si>
  <si>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</si>
  <si>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</si>
  <si>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</si>
  <si>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</si>
  <si>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</si>
  <si>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</si>
  <si>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</si>
  <si>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</si>
  <si>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</si>
  <si>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</si>
  <si>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</si>
  <si>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</si>
  <si>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</si>
  <si>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</si>
  <si>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</si>
  <si>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</si>
  <si>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</si>
  <si>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</si>
  <si>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</si>
  <si>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</si>
  <si>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</si>
  <si>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</si>
  <si>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</si>
  <si>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</si>
  <si>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</si>
  <si>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</si>
  <si>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</si>
  <si>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</si>
  <si>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</si>
  <si>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</si>
  <si>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</si>
  <si>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</si>
  <si>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</si>
  <si>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</si>
  <si>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</si>
  <si>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</si>
  <si>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</si>
  <si>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</si>
  <si>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</si>
  <si>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</si>
  <si>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</si>
  <si>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</si>
  <si>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</si>
  <si>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</si>
  <si>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</si>
  <si>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</si>
  <si>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</si>
  <si>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</si>
  <si>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</si>
  <si>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</si>
  <si>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</si>
  <si>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</si>
  <si>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</si>
  <si>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</si>
  <si>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</si>
  <si>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</si>
  <si>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</si>
  <si>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</si>
  <si>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</si>
  <si>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</si>
  <si>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</si>
  <si>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</si>
  <si>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</si>
  <si>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</si>
  <si>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</si>
  <si>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</si>
  <si>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</si>
  <si>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</si>
  <si>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</si>
  <si>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</si>
  <si>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</si>
  <si>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</si>
  <si>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</si>
  <si>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</si>
  <si>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</si>
  <si>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</si>
  <si>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</si>
  <si>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</si>
  <si>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</si>
  <si>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</si>
  <si>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</si>
  <si>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</si>
  <si>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</si>
  <si>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</si>
  <si>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</si>
  <si>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</si>
  <si>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</si>
  <si>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</si>
  <si>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</si>
  <si>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</si>
  <si>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</si>
  <si>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</si>
  <si>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</si>
  <si>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</si>
  <si>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</si>
  <si>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</si>
  <si>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</si>
  <si>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</si>
  <si>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</si>
  <si>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</si>
  <si>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</si>
  <si>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</si>
  <si>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</si>
  <si>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</si>
  <si>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</si>
  <si>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</si>
  <si>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</si>
  <si>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</si>
  <si>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</si>
  <si>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</si>
  <si>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</si>
  <si>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</si>
  <si>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</si>
  <si>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</si>
  <si>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</si>
  <si>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</si>
  <si>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</si>
  <si>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</si>
  <si>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</si>
  <si>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</si>
  <si>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</si>
  <si>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</si>
  <si>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</si>
  <si>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</si>
  <si>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</si>
  <si>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</si>
  <si>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</si>
  <si>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</si>
  <si>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</si>
  <si>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</si>
  <si>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</si>
  <si>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</si>
  <si>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</si>
  <si>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</si>
  <si>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</si>
  <si>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</si>
  <si>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</si>
  <si>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</si>
  <si>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</si>
  <si>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Mascoma Valley Regional School District</t>
  </si>
  <si>
    <t>5/2013</t>
  </si>
  <si>
    <t>6/12/14</t>
  </si>
  <si>
    <t>11/2028</t>
  </si>
  <si>
    <t>12/12/2039</t>
  </si>
  <si>
    <t>Transfer from GF $149.05</t>
  </si>
  <si>
    <t>Trust Fund Management Fees</t>
  </si>
  <si>
    <t xml:space="preserve">Acct 1990 Other Miscellaneous Revenue includes the following: $20,618.85 HealthTrust Dental Premium Holiday, </t>
  </si>
  <si>
    <t>$10,602.57 SchoolCare Premium Holiday and $29,211.28 Thermal Renewable Energy Certificates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</si>
</sst>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343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1455976.93+100+100+75+100+100</f>
        <v>1456451.93</v>
      </c>
      <c r="G9" s="18"/>
      <c r="H9" s="18"/>
      <c r="I9" s="18">
        <v>4508139.8499999996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-103081.36</v>
      </c>
      <c r="G12" s="18"/>
      <c r="H12" s="18"/>
      <c r="I12" s="18"/>
      <c r="J12" s="67">
        <f>SUM(I441)</f>
        <v>712460.47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17558.79</v>
      </c>
      <c r="H13" s="18">
        <f>122122.33</f>
        <v>122122.33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f>1814.34</f>
        <v>1814.34</v>
      </c>
      <c r="H14" s="18">
        <f>1240</f>
        <v>1240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1353370.5699999998</v>
      </c>
      <c r="G19" s="41">
        <f>SUM(G9:G18)</f>
        <v>19373.13</v>
      </c>
      <c r="H19" s="41">
        <f>SUM(H9:H18)</f>
        <v>123362.33</v>
      </c>
      <c r="I19" s="41">
        <f>SUM(I9:I18)</f>
        <v>4508139.8499999996</v>
      </c>
      <c r="J19" s="41">
        <f>SUM(J9:J18)</f>
        <v>712460.47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 t="s">
        <v>287</v>
      </c>
      <c r="G22" s="18">
        <v>-45866.59</v>
      </c>
      <c r="H22" s="18">
        <f>122122.33-156472.6-22382.05-482.45</f>
        <v>-57214.770000000004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 t="s">
        <v>287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164807.98+2928.3</f>
        <v>167736.28</v>
      </c>
      <c r="G24" s="18">
        <f>55667.9</f>
        <v>55667.9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22203.45</f>
        <v>22203.45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-1014.39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f>8609.33</f>
        <v>8609.33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188925.34</v>
      </c>
      <c r="G32" s="41">
        <f>SUM(G22:G31)</f>
        <v>18410.640000000007</v>
      </c>
      <c r="H32" s="41">
        <f>SUM(H22:H31)</f>
        <v>-57214.770000000004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300000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712460.47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>
        <f>962.49</f>
        <v>962.49</v>
      </c>
      <c r="H49" s="18">
        <f>(1867.45+17896.61+4485.44+168148.36)-11675.76-145</f>
        <v>180577.09999999998</v>
      </c>
      <c r="I49" s="18">
        <f>4508139.85</f>
        <v>4508139.8499999996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767786.12-28340.89</f>
        <v>739445.23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1164445.23</v>
      </c>
      <c r="G51" s="41">
        <f>SUM(G35:G50)</f>
        <v>962.49</v>
      </c>
      <c r="H51" s="41">
        <f>SUM(H35:H50)</f>
        <v>180577.09999999998</v>
      </c>
      <c r="I51" s="41">
        <f>SUM(I35:I50)</f>
        <v>4508139.8499999996</v>
      </c>
      <c r="J51" s="41">
        <f>SUM(J35:J50)</f>
        <v>712460.47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1353370.57</v>
      </c>
      <c r="G52" s="41">
        <f>G51+G32</f>
        <v>19373.130000000008</v>
      </c>
      <c r="H52" s="41">
        <f>H51+H32</f>
        <v>123362.32999999997</v>
      </c>
      <c r="I52" s="41">
        <f>I51+I32</f>
        <v>4508139.8499999996</v>
      </c>
      <c r="J52" s="41">
        <f>J51+J32</f>
        <v>712460.47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16297428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16297428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>
        <f>49855+57125+75</f>
        <v>107055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107055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3197.69</v>
      </c>
      <c r="G96" s="18"/>
      <c r="H96" s="18"/>
      <c r="I96" s="18">
        <v>6660.44</v>
      </c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165039+23752+10121+5088</f>
        <v>204000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2224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146788.16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68574.53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73996.22</v>
      </c>
      <c r="G111" s="41">
        <f>SUM(G96:G110)</f>
        <v>204000</v>
      </c>
      <c r="H111" s="41">
        <f>SUM(H96:H110)</f>
        <v>146788.16</v>
      </c>
      <c r="I111" s="41">
        <f>SUM(I96:I110)</f>
        <v>6660.44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16371424.220000001</v>
      </c>
      <c r="G112" s="41">
        <f>G60+G111</f>
        <v>204000</v>
      </c>
      <c r="H112" s="41">
        <f>H60+H79+H94+H111</f>
        <v>253843.16</v>
      </c>
      <c r="I112" s="41">
        <f>I60+I111</f>
        <v>6660.44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3986689.31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2528267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6514956.3100000005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142488.20000000001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158580.54999999999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19557.2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5511.42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320625.95</v>
      </c>
      <c r="G136" s="41">
        <f>SUM(G123:G135)</f>
        <v>5511.42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6835582.2600000007</v>
      </c>
      <c r="G140" s="41">
        <f>G121+SUM(G136:G137)</f>
        <v>5511.42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183511.3</f>
        <v>183511.3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54334.68+20796</f>
        <v>75130.679999999993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224857.07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286792.77</f>
        <v>286792.77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89896.52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89896.52</v>
      </c>
      <c r="G162" s="41">
        <f>SUM(G150:G161)</f>
        <v>224857.07</v>
      </c>
      <c r="H162" s="41">
        <f>SUM(H150:H161)</f>
        <v>545434.75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2678.69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92575.21</v>
      </c>
      <c r="G169" s="41">
        <f>G147+G162+SUM(G163:G168)</f>
        <v>224857.07</v>
      </c>
      <c r="H169" s="41">
        <f>H147+H162+SUM(H163:H168)</f>
        <v>545434.75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125000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 t="s">
        <v>287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 t="s">
        <v>287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125000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108700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108700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>
        <v>17358000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108700</v>
      </c>
      <c r="G192" s="41">
        <f>G183+SUM(G188:G191)</f>
        <v>0</v>
      </c>
      <c r="H192" s="41">
        <f>+H183+SUM(H188:H191)</f>
        <v>0</v>
      </c>
      <c r="I192" s="41">
        <f>I177+I183+SUM(I188:I191)</f>
        <v>17358000</v>
      </c>
      <c r="J192" s="41">
        <f>J183</f>
        <v>125000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23408281.690000001</v>
      </c>
      <c r="G193" s="47">
        <f>G112+G140+G169+G192</f>
        <v>434368.49</v>
      </c>
      <c r="H193" s="47">
        <f>H112+H140+H169+H192</f>
        <v>799277.91</v>
      </c>
      <c r="I193" s="47">
        <f>I112+I140+I169+I192</f>
        <v>17364660.440000001</v>
      </c>
      <c r="J193" s="47">
        <f>J112+J140+J192</f>
        <v>125000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3619457.79+293370.31+58943.23+7375.41+132863.85</f>
        <v>4112010.5900000003</v>
      </c>
      <c r="G197" s="18">
        <f>903472.9+68137.31+295701.96+1226.96+566630.86+221511.38+889.76+40987.3-132863.85</f>
        <v>1965694.5799999996</v>
      </c>
      <c r="H197" s="18">
        <f>5845.95+6016.99+15758.66+4613.4+8874.6</f>
        <v>41109.599999999999</v>
      </c>
      <c r="I197" s="18">
        <f>91850.69+7799.48+82729.98+38815.35+348.37</f>
        <v>221543.87</v>
      </c>
      <c r="J197" s="18">
        <f>5548.26+766.24+791.91+27890.01+104656.55</f>
        <v>139652.97</v>
      </c>
      <c r="K197" s="18">
        <f>4188.39</f>
        <v>4188.3900000000003</v>
      </c>
      <c r="L197" s="19">
        <f>SUM(F197:K197)</f>
        <v>6484199.9999999991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557887.61+806915.99+407697.88+41869.98</f>
        <v>1814371.46</v>
      </c>
      <c r="G198" s="18">
        <f>450025.65+29733.96+101644.84+43707.74+85987+151559.38+6645.58-500.61</f>
        <v>868803.54</v>
      </c>
      <c r="H198" s="18">
        <f>344371.36+58528.26</f>
        <v>402899.62</v>
      </c>
      <c r="I198" s="18">
        <f>1243.93+568.6+6168.89</f>
        <v>7981.42</v>
      </c>
      <c r="J198" s="18">
        <f>6269.77</f>
        <v>6269.77</v>
      </c>
      <c r="K198" s="18">
        <f>17.5</f>
        <v>17.5</v>
      </c>
      <c r="L198" s="19">
        <f>SUM(F198:K198)</f>
        <v>3100343.31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23486</f>
        <v>23486</v>
      </c>
      <c r="G200" s="18">
        <f>18.73+1782.25+255.12+2402.69</f>
        <v>4458.79</v>
      </c>
      <c r="H200" s="18">
        <f>3118</f>
        <v>3118</v>
      </c>
      <c r="I200" s="18">
        <f>6012.64</f>
        <v>6012.64</v>
      </c>
      <c r="J200" s="18">
        <f>7024.03</f>
        <v>7024.03</v>
      </c>
      <c r="K200" s="18">
        <f>525</f>
        <v>525</v>
      </c>
      <c r="L200" s="19">
        <f>SUM(F200:K200)</f>
        <v>44624.46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175351.2+174379</f>
        <v>349730.2</v>
      </c>
      <c r="G202" s="18">
        <f>49982.25+2777.76+13072.09+28796.57+36810.62+3532.58+13192.18+27325.26</f>
        <v>175489.31</v>
      </c>
      <c r="H202" s="18">
        <f>345665.45</f>
        <v>345665.45</v>
      </c>
      <c r="I202" s="18">
        <f>2595.08</f>
        <v>2595.08</v>
      </c>
      <c r="J202" s="18"/>
      <c r="K202" s="18"/>
      <c r="L202" s="19">
        <f t="shared" ref="L202:L208" si="0">SUM(F202:K202)</f>
        <v>873480.03999999992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167999+20213.55</f>
        <v>188212.55</v>
      </c>
      <c r="G203" s="18">
        <f>44642.4+3118.72+14218.19+26325.24</f>
        <v>88304.55</v>
      </c>
      <c r="H203" s="18">
        <f>46398.11</f>
        <v>46398.11</v>
      </c>
      <c r="I203" s="18">
        <f>20577.1+1522.3+24969.2</f>
        <v>47068.6</v>
      </c>
      <c r="J203" s="18">
        <f>646.49+2640+427.21</f>
        <v>3713.7</v>
      </c>
      <c r="K203" s="18"/>
      <c r="L203" s="19">
        <f t="shared" si="0"/>
        <v>373697.50999999995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3640+1901.38+1750+38325+365459.38</f>
        <v>411075.76</v>
      </c>
      <c r="G204" s="18">
        <f>278.5+219.44+133.88+4825.88+160401.53</f>
        <v>165859.23000000001</v>
      </c>
      <c r="H204" s="18">
        <f>12046.08+23120.94+197122.07</f>
        <v>232289.09</v>
      </c>
      <c r="I204" s="18">
        <f>9956.89+86965.14</f>
        <v>96922.03</v>
      </c>
      <c r="J204" s="18">
        <f>2618.22</f>
        <v>2618.2199999999998</v>
      </c>
      <c r="K204" s="18">
        <f>4118.98+2431.8</f>
        <v>6550.78</v>
      </c>
      <c r="L204" s="19">
        <f t="shared" si="0"/>
        <v>915315.11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267573+179524.6+70000</f>
        <v>517097.6</v>
      </c>
      <c r="G205" s="18">
        <f>145782.34+10531.4+38984.33+20052.79+52897.47+7250.56</f>
        <v>275498.89</v>
      </c>
      <c r="H205" s="18">
        <f>4079.44+13152.7+3415.44+1610.9+604.79</f>
        <v>22863.27</v>
      </c>
      <c r="I205" s="18">
        <f>1453.16</f>
        <v>1453.16</v>
      </c>
      <c r="J205" s="18">
        <f>1790</f>
        <v>1790</v>
      </c>
      <c r="K205" s="18"/>
      <c r="L205" s="19">
        <f t="shared" si="0"/>
        <v>818702.92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273213.78+55854.55</f>
        <v>329068.33</v>
      </c>
      <c r="G207" s="18">
        <f>87391.36+3935.28+20239.48+23133.95+22712.89</f>
        <v>157412.96000000002</v>
      </c>
      <c r="H207" s="18">
        <f>12739+40230.3+71436.7+15002.12+38046.52+8463.36+35051.79+44726.8</f>
        <v>265696.59000000003</v>
      </c>
      <c r="I207" s="18">
        <f>41577.8+105160.67+1289.88+6730.93+46474.48+4390.45+12599.08</f>
        <v>218223.29</v>
      </c>
      <c r="J207" s="18">
        <f>3690.95+12373.44+8453.25</f>
        <v>24517.64</v>
      </c>
      <c r="K207" s="18"/>
      <c r="L207" s="19">
        <f t="shared" si="0"/>
        <v>994918.81000000017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5128.69+16796.29+710285.28+642.47</f>
        <v>732852.73</v>
      </c>
      <c r="I208" s="18"/>
      <c r="J208" s="18"/>
      <c r="K208" s="18"/>
      <c r="L208" s="19">
        <f t="shared" si="0"/>
        <v>732852.73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f>5284.17</f>
        <v>5284.17</v>
      </c>
      <c r="I209" s="18"/>
      <c r="J209" s="18"/>
      <c r="K209" s="18"/>
      <c r="L209" s="19">
        <f>SUM(F209:K209)</f>
        <v>5284.17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7745052.4900000002</v>
      </c>
      <c r="G211" s="41">
        <f t="shared" si="1"/>
        <v>3701521.8499999996</v>
      </c>
      <c r="H211" s="41">
        <f t="shared" si="1"/>
        <v>2098176.63</v>
      </c>
      <c r="I211" s="41">
        <f t="shared" si="1"/>
        <v>601800.09</v>
      </c>
      <c r="J211" s="41">
        <f t="shared" si="1"/>
        <v>185586.33000000002</v>
      </c>
      <c r="K211" s="41">
        <f t="shared" si="1"/>
        <v>11281.67</v>
      </c>
      <c r="L211" s="41">
        <f t="shared" si="1"/>
        <v>14343419.059999999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1519665.64+15417.2+82015.59+25261.38+10021.5+3160.89+56941.65</f>
        <v>1712483.8499999996</v>
      </c>
      <c r="G233" s="18">
        <f>433787.19+35992.17+121984.76+10878.87+239959+94933.45+11290.33+381.33+17565.98-56941.65</f>
        <v>909831.42999999982</v>
      </c>
      <c r="H233" s="18">
        <f>912.81+12499.28+1500+6753.71+1977.17+3803.4</f>
        <v>27446.370000000003</v>
      </c>
      <c r="I233" s="18">
        <f>55097.49+4387.02+32026.7+4467.45+149.3</f>
        <v>96127.959999999992</v>
      </c>
      <c r="J233" s="18">
        <f>14252.31+8836.8+12875.55+44852.81</f>
        <v>80817.47</v>
      </c>
      <c r="K233" s="18">
        <f>25031.47</f>
        <v>25031.47</v>
      </c>
      <c r="L233" s="19">
        <f>SUM(F233:K233)</f>
        <v>2851738.55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173374.5+186320.21+174727.66</f>
        <v>534422.37</v>
      </c>
      <c r="G234" s="18">
        <f>186694.26+12496.24+26352.93+17147.7+27167.85+64954.02</f>
        <v>334813</v>
      </c>
      <c r="H234" s="18">
        <f>436669.29+184102.73+147587.73+25083.54</f>
        <v>793443.29</v>
      </c>
      <c r="I234" s="18">
        <f>596.62+473.4+2643.81</f>
        <v>3713.83</v>
      </c>
      <c r="J234" s="18">
        <f>2687.05</f>
        <v>2687.05</v>
      </c>
      <c r="K234" s="18">
        <f>7.5</f>
        <v>7.5</v>
      </c>
      <c r="L234" s="19">
        <f>SUM(F234:K234)</f>
        <v>1669087.0400000003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f>537699.04</f>
        <v>537699.04</v>
      </c>
      <c r="I235" s="18"/>
      <c r="J235" s="18"/>
      <c r="K235" s="18"/>
      <c r="L235" s="19">
        <f>SUM(F235:K235)</f>
        <v>537699.04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73241</f>
        <v>73241</v>
      </c>
      <c r="G236" s="18">
        <f>5586.08+257.23+2585.53</f>
        <v>8428.84</v>
      </c>
      <c r="H236" s="18">
        <f>20656+26528.55+14617.69</f>
        <v>61802.240000000005</v>
      </c>
      <c r="I236" s="18">
        <f>14323.27</f>
        <v>14323.27</v>
      </c>
      <c r="J236" s="18">
        <f>4354.99+12510.14</f>
        <v>16865.129999999997</v>
      </c>
      <c r="K236" s="18">
        <f>6966.07</f>
        <v>6966.07</v>
      </c>
      <c r="L236" s="19">
        <f>SUM(F236:K236)</f>
        <v>181626.55000000002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167470+61661</f>
        <v>229131</v>
      </c>
      <c r="G238" s="18">
        <f>23495.34+3118.72+12718.09+26242.51+21147.06+1670.68+4631.8+9662.35</f>
        <v>102686.55</v>
      </c>
      <c r="H238" s="18">
        <f>5683.18+1478.6+148142.33</f>
        <v>155304.10999999999</v>
      </c>
      <c r="I238" s="18">
        <f>1340.06+59.99+1275.31</f>
        <v>2675.3599999999997</v>
      </c>
      <c r="J238" s="18">
        <f>4498.88</f>
        <v>4498.88</v>
      </c>
      <c r="K238" s="18"/>
      <c r="L238" s="19">
        <f t="shared" ref="L238:L244" si="4">SUM(F238:K238)</f>
        <v>494295.89999999997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65128+15093.9</f>
        <v>80221.899999999994</v>
      </c>
      <c r="G239" s="18">
        <f>7650.47+930.55+6106.13+10205.54</f>
        <v>24892.690000000002</v>
      </c>
      <c r="H239" s="18">
        <f>19884.91</f>
        <v>19884.91</v>
      </c>
      <c r="I239" s="18">
        <f>1198.14+14312.24+229+10701.08</f>
        <v>26440.46</v>
      </c>
      <c r="J239" s="18">
        <f>903.12+1238.03+399.59</f>
        <v>2540.7400000000002</v>
      </c>
      <c r="K239" s="18"/>
      <c r="L239" s="19">
        <f t="shared" si="4"/>
        <v>153980.69999999998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1560+814.88+750+16425+156625.45</f>
        <v>176175.33000000002</v>
      </c>
      <c r="G240" s="18">
        <f>119.36+94.04+57.38+2068.23+68743.51</f>
        <v>71082.51999999999</v>
      </c>
      <c r="H240" s="18">
        <f>5162.61+9908.98+84480.89</f>
        <v>99552.48</v>
      </c>
      <c r="I240" s="18">
        <f>4267.24+37270.78</f>
        <v>41538.019999999997</v>
      </c>
      <c r="J240" s="18">
        <f>1122.1</f>
        <v>1122.0999999999999</v>
      </c>
      <c r="K240" s="18">
        <f>1765.28+1042.2</f>
        <v>2807.48</v>
      </c>
      <c r="L240" s="19">
        <f t="shared" si="4"/>
        <v>392277.93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93619+108559.21+74743</f>
        <v>276921.21000000002</v>
      </c>
      <c r="G241" s="18">
        <f>78260.6+5023.92+20943.04+12126.08+26382.21+4000</f>
        <v>146735.85</v>
      </c>
      <c r="H241" s="18">
        <f>1580+11172.71+2600+3553.04+2051.86</f>
        <v>20957.61</v>
      </c>
      <c r="I241" s="18">
        <f>8237.73</f>
        <v>8237.73</v>
      </c>
      <c r="J241" s="18"/>
      <c r="K241" s="18"/>
      <c r="L241" s="19">
        <f t="shared" si="4"/>
        <v>452852.4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143901.71+23937.67</f>
        <v>167839.38</v>
      </c>
      <c r="G243" s="18">
        <f>40338.32+2623.28+10703.3+12456.46+9734.1</f>
        <v>75855.459999999992</v>
      </c>
      <c r="H243" s="18">
        <f>517+9819.1+51013.77+17163.85+80120.55+35051.8+594.46+19168.63</f>
        <v>213449.16</v>
      </c>
      <c r="I243" s="18">
        <f>17385.62+64317.3+2636.53+3687.08+40993.52+276.86+5399.61</f>
        <v>134696.51999999999</v>
      </c>
      <c r="J243" s="18">
        <f>2042.55+3622.82</f>
        <v>5665.37</v>
      </c>
      <c r="K243" s="18"/>
      <c r="L243" s="19">
        <f t="shared" si="4"/>
        <v>597505.89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78666+25609.99+5548.33+304407.98+2285.83</f>
        <v>416518.13</v>
      </c>
      <c r="I244" s="18"/>
      <c r="J244" s="18"/>
      <c r="K244" s="18"/>
      <c r="L244" s="19">
        <f t="shared" si="4"/>
        <v>416518.13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f>2264.64</f>
        <v>2264.64</v>
      </c>
      <c r="I245" s="18"/>
      <c r="J245" s="18"/>
      <c r="K245" s="18"/>
      <c r="L245" s="19">
        <f>SUM(F245:K245)</f>
        <v>2264.64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3250436.0399999996</v>
      </c>
      <c r="G247" s="41">
        <f t="shared" si="5"/>
        <v>1674326.3399999999</v>
      </c>
      <c r="H247" s="41">
        <f t="shared" si="5"/>
        <v>2348321.9800000004</v>
      </c>
      <c r="I247" s="41">
        <f t="shared" si="5"/>
        <v>327753.15000000002</v>
      </c>
      <c r="J247" s="41">
        <f t="shared" si="5"/>
        <v>114196.74</v>
      </c>
      <c r="K247" s="41">
        <f t="shared" si="5"/>
        <v>34812.520000000004</v>
      </c>
      <c r="L247" s="41">
        <f t="shared" si="5"/>
        <v>7749846.7699999996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f>49548.02+31275</f>
        <v>80823.01999999999</v>
      </c>
      <c r="K255" s="18"/>
      <c r="L255" s="19">
        <f t="shared" si="6"/>
        <v>80823.01999999999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80823.01999999999</v>
      </c>
      <c r="K256" s="41">
        <f t="shared" si="7"/>
        <v>0</v>
      </c>
      <c r="L256" s="41">
        <f>SUM(F256:K256)</f>
        <v>80823.01999999999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10995488.529999999</v>
      </c>
      <c r="G257" s="41">
        <f t="shared" si="8"/>
        <v>5375848.1899999995</v>
      </c>
      <c r="H257" s="41">
        <f t="shared" si="8"/>
        <v>4446498.6100000003</v>
      </c>
      <c r="I257" s="41">
        <f t="shared" si="8"/>
        <v>929553.24</v>
      </c>
      <c r="J257" s="41">
        <f t="shared" si="8"/>
        <v>380606.08999999997</v>
      </c>
      <c r="K257" s="41">
        <f t="shared" si="8"/>
        <v>46094.19</v>
      </c>
      <c r="L257" s="41">
        <f t="shared" si="8"/>
        <v>22174088.849999998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366042.62+82227.66</f>
        <v>448270.28</v>
      </c>
      <c r="L260" s="19">
        <f>SUM(F260:K260)</f>
        <v>448270.28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f>639507.61+49755.84</f>
        <v>689263.45</v>
      </c>
      <c r="L261" s="19">
        <f>SUM(F261:K261)</f>
        <v>689263.45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 t="s">
        <v>287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 t="s">
        <v>287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125000</v>
      </c>
      <c r="L266" s="19">
        <f t="shared" si="9"/>
        <v>125000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1262533.73</v>
      </c>
      <c r="L270" s="41">
        <f t="shared" si="9"/>
        <v>1262533.73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10995488.529999999</v>
      </c>
      <c r="G271" s="42">
        <f t="shared" si="11"/>
        <v>5375848.1899999995</v>
      </c>
      <c r="H271" s="42">
        <f t="shared" si="11"/>
        <v>4446498.6100000003</v>
      </c>
      <c r="I271" s="42">
        <f t="shared" si="11"/>
        <v>929553.24</v>
      </c>
      <c r="J271" s="42">
        <f t="shared" si="11"/>
        <v>380606.08999999997</v>
      </c>
      <c r="K271" s="42">
        <f t="shared" si="11"/>
        <v>1308627.92</v>
      </c>
      <c r="L271" s="42">
        <f t="shared" si="11"/>
        <v>23436622.579999998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4966.8+10000+98861.5+40500</f>
        <v>154328.29999999999</v>
      </c>
      <c r="G276" s="18">
        <f>375.49+778.3+731.91+10577.71+7967</f>
        <v>20430.41</v>
      </c>
      <c r="H276" s="18">
        <f>4052.86+2262.13+1908.2+16200+5355+3500+9493.15</f>
        <v>42771.340000000004</v>
      </c>
      <c r="I276" s="18">
        <f>2258.61+596.63+1006.58+332.35+599.65</f>
        <v>4793.82</v>
      </c>
      <c r="J276" s="18">
        <f>68199.06+13940+9686.55+5198</f>
        <v>97023.61</v>
      </c>
      <c r="K276" s="18">
        <f>16181.6</f>
        <v>16181.6</v>
      </c>
      <c r="L276" s="19">
        <f>SUM(F276:K276)</f>
        <v>335529.07999999996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70454</f>
        <v>70454</v>
      </c>
      <c r="G277" s="18">
        <f>7419.5+890.26+573.81+5326.66+7869.68+365.31</f>
        <v>22445.22</v>
      </c>
      <c r="H277" s="18">
        <f>308.55+20160+34125+392.7</f>
        <v>54986.25</v>
      </c>
      <c r="I277" s="18">
        <f>5197.14+1208.76+810.08</f>
        <v>7215.9800000000005</v>
      </c>
      <c r="J277" s="18"/>
      <c r="K277" s="18"/>
      <c r="L277" s="19">
        <f>SUM(F277:K277)</f>
        <v>155101.45000000001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f>9149+52360</f>
        <v>61509</v>
      </c>
      <c r="I281" s="18"/>
      <c r="J281" s="18"/>
      <c r="K281" s="18"/>
      <c r="L281" s="19">
        <f t="shared" ref="L281:L287" si="12">SUM(F281:K281)</f>
        <v>61509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f>20000+8113+5859.35+13217.66+269.5</f>
        <v>47459.509999999995</v>
      </c>
      <c r="I282" s="18">
        <f>1165.61+126</f>
        <v>1291.6099999999999</v>
      </c>
      <c r="J282" s="18"/>
      <c r="K282" s="18"/>
      <c r="L282" s="19">
        <f t="shared" si="12"/>
        <v>48751.119999999995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224782.3</v>
      </c>
      <c r="G290" s="42">
        <f t="shared" si="13"/>
        <v>42875.630000000005</v>
      </c>
      <c r="H290" s="42">
        <f t="shared" si="13"/>
        <v>206726.09999999998</v>
      </c>
      <c r="I290" s="42">
        <f t="shared" si="13"/>
        <v>13301.41</v>
      </c>
      <c r="J290" s="42">
        <f t="shared" si="13"/>
        <v>97023.61</v>
      </c>
      <c r="K290" s="42">
        <f t="shared" si="13"/>
        <v>16181.6</v>
      </c>
      <c r="L290" s="41">
        <f t="shared" si="13"/>
        <v>600890.65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800+16841.25+20698</f>
        <v>38339.25</v>
      </c>
      <c r="G314" s="18">
        <f>60.2+125.36+2849.46+279.24+2639.02</f>
        <v>5953.2800000000007</v>
      </c>
      <c r="H314" s="18">
        <f>10154.28+25000+2402.66+4751.25+817.8+1500+4068.49</f>
        <v>48694.48</v>
      </c>
      <c r="I314" s="18">
        <f>1654.9+2152+2145.89+2253.68</f>
        <v>8206.4699999999993</v>
      </c>
      <c r="J314" s="18">
        <f>4151.38</f>
        <v>4151.38</v>
      </c>
      <c r="K314" s="18"/>
      <c r="L314" s="19">
        <f>SUM(F314:K314)</f>
        <v>105344.86000000002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25055.5</f>
        <v>25055.5</v>
      </c>
      <c r="G315" s="18">
        <f>204.06+1871.76+2798.82+135.3</f>
        <v>5009.9400000000005</v>
      </c>
      <c r="H315" s="18">
        <f>676.89+8640+14625+168.3</f>
        <v>24110.19</v>
      </c>
      <c r="I315" s="18">
        <f>359.72+347.19+2227.35+518.04</f>
        <v>3452.3</v>
      </c>
      <c r="J315" s="18"/>
      <c r="K315" s="18"/>
      <c r="L315" s="19">
        <f>SUM(F315:K315)</f>
        <v>57627.930000000008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>
        <f>4066.87</f>
        <v>4066.87</v>
      </c>
      <c r="J317" s="18"/>
      <c r="K317" s="18"/>
      <c r="L317" s="19">
        <f>SUM(F317:K317)</f>
        <v>4066.87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f>3921+22440</f>
        <v>26361</v>
      </c>
      <c r="I319" s="18"/>
      <c r="J319" s="18"/>
      <c r="K319" s="18"/>
      <c r="L319" s="19">
        <f t="shared" ref="L319:L325" si="16">SUM(F319:K319)</f>
        <v>26361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>
        <f>3477+2511.15+5664.72+115.5</f>
        <v>11768.369999999999</v>
      </c>
      <c r="I320" s="18">
        <f>499.55+54</f>
        <v>553.54999999999995</v>
      </c>
      <c r="J320" s="18"/>
      <c r="K320" s="18"/>
      <c r="L320" s="19">
        <f t="shared" si="16"/>
        <v>12321.919999999998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63394.75</v>
      </c>
      <c r="G328" s="42">
        <f t="shared" si="17"/>
        <v>10963.220000000001</v>
      </c>
      <c r="H328" s="42">
        <f t="shared" si="17"/>
        <v>110934.04</v>
      </c>
      <c r="I328" s="42">
        <f t="shared" si="17"/>
        <v>16279.189999999999</v>
      </c>
      <c r="J328" s="42">
        <f t="shared" si="17"/>
        <v>4151.38</v>
      </c>
      <c r="K328" s="42">
        <f t="shared" si="17"/>
        <v>0</v>
      </c>
      <c r="L328" s="41">
        <f t="shared" si="17"/>
        <v>205722.58000000002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 t="s">
        <v>287</v>
      </c>
      <c r="I336" s="18"/>
      <c r="J336" s="18" t="s">
        <v>287</v>
      </c>
      <c r="K336" s="18" t="s">
        <v>287</v>
      </c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288177.05</v>
      </c>
      <c r="G338" s="41">
        <f t="shared" si="20"/>
        <v>53838.850000000006</v>
      </c>
      <c r="H338" s="41">
        <f t="shared" si="20"/>
        <v>317660.13999999996</v>
      </c>
      <c r="I338" s="41">
        <f t="shared" si="20"/>
        <v>29580.6</v>
      </c>
      <c r="J338" s="41">
        <f t="shared" si="20"/>
        <v>101174.99</v>
      </c>
      <c r="K338" s="41">
        <f t="shared" si="20"/>
        <v>16181.6</v>
      </c>
      <c r="L338" s="41">
        <f t="shared" si="20"/>
        <v>806613.23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288177.05</v>
      </c>
      <c r="G352" s="41">
        <f>G338</f>
        <v>53838.850000000006</v>
      </c>
      <c r="H352" s="41">
        <f>H338</f>
        <v>317660.13999999996</v>
      </c>
      <c r="I352" s="41">
        <f>I338</f>
        <v>29580.6</v>
      </c>
      <c r="J352" s="41">
        <f>J338</f>
        <v>101174.99</v>
      </c>
      <c r="K352" s="47">
        <f>K338+K351</f>
        <v>16181.6</v>
      </c>
      <c r="L352" s="41">
        <f>L338+L351</f>
        <v>806613.23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433406*0.7</f>
        <v>303384.19999999995</v>
      </c>
      <c r="I358" s="18"/>
      <c r="J358" s="18"/>
      <c r="K358" s="18"/>
      <c r="L358" s="13">
        <f>SUM(F358:K358)</f>
        <v>303384.19999999995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f>433406*0.3</f>
        <v>130021.79999999999</v>
      </c>
      <c r="I360" s="18"/>
      <c r="J360" s="18"/>
      <c r="K360" s="18"/>
      <c r="L360" s="19">
        <f>SUM(F360:K360)</f>
        <v>130021.79999999999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433405.99999999994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433405.99999999994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f>12786856.77</f>
        <v>12786856.77</v>
      </c>
      <c r="I379" s="18"/>
      <c r="J379" s="18">
        <v>577025.72</v>
      </c>
      <c r="K379" s="18">
        <v>7538.9</v>
      </c>
      <c r="L379" s="13">
        <f t="shared" si="23"/>
        <v>13371421.390000001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12786856.77</v>
      </c>
      <c r="I382" s="41">
        <f t="shared" si="24"/>
        <v>0</v>
      </c>
      <c r="J382" s="47">
        <f t="shared" si="24"/>
        <v>577025.72</v>
      </c>
      <c r="K382" s="47">
        <f t="shared" si="24"/>
        <v>7538.9</v>
      </c>
      <c r="L382" s="47">
        <f t="shared" si="24"/>
        <v>13371421.390000001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 t="s">
        <v>287</v>
      </c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75000</v>
      </c>
      <c r="H396" s="18"/>
      <c r="I396" s="18"/>
      <c r="J396" s="24" t="s">
        <v>289</v>
      </c>
      <c r="K396" s="24" t="s">
        <v>289</v>
      </c>
      <c r="L396" s="56">
        <f t="shared" si="26"/>
        <v>75000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/>
      <c r="I397" s="18"/>
      <c r="J397" s="24" t="s">
        <v>289</v>
      </c>
      <c r="K397" s="24" t="s">
        <v>289</v>
      </c>
      <c r="L397" s="56">
        <f t="shared" si="26"/>
        <v>25000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25000</v>
      </c>
      <c r="H399" s="18"/>
      <c r="I399" s="18"/>
      <c r="J399" s="24" t="s">
        <v>289</v>
      </c>
      <c r="K399" s="24" t="s">
        <v>289</v>
      </c>
      <c r="L399" s="56">
        <f t="shared" si="26"/>
        <v>25000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125000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125000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125000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125000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>
        <v>91700</v>
      </c>
      <c r="L415" s="56">
        <f t="shared" si="27"/>
        <v>91700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>
        <v>17000</v>
      </c>
      <c r="L418" s="56">
        <f t="shared" si="27"/>
        <v>17000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>SUM(H413:H418)</f>
        <v>0</v>
      </c>
      <c r="I419" s="139">
        <f t="shared" si="28"/>
        <v>0</v>
      </c>
      <c r="J419" s="139">
        <f t="shared" si="28"/>
        <v>0</v>
      </c>
      <c r="K419" s="139">
        <f t="shared" si="28"/>
        <v>108700</v>
      </c>
      <c r="L419" s="47">
        <f t="shared" si="28"/>
        <v>108700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108700</v>
      </c>
      <c r="L434" s="47">
        <f t="shared" si="32"/>
        <v>108700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712460.47</v>
      </c>
      <c r="G441" s="18"/>
      <c r="H441" s="18"/>
      <c r="I441" s="56">
        <f t="shared" si="33"/>
        <v>712460.47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712460.47</v>
      </c>
      <c r="G446" s="13">
        <f>SUM(G439:G445)</f>
        <v>0</v>
      </c>
      <c r="H446" s="13">
        <f>SUM(H439:H445)</f>
        <v>0</v>
      </c>
      <c r="I446" s="13">
        <f>SUM(I439:I445)</f>
        <v>712460.47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712460.47</v>
      </c>
      <c r="G459" s="18"/>
      <c r="H459" s="18"/>
      <c r="I459" s="56">
        <f t="shared" si="34"/>
        <v>712460.47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712460.47</v>
      </c>
      <c r="G460" s="83">
        <f>SUM(G454:G459)</f>
        <v>0</v>
      </c>
      <c r="H460" s="83">
        <f>SUM(H454:H459)</f>
        <v>0</v>
      </c>
      <c r="I460" s="83">
        <f>SUM(I454:I459)</f>
        <v>712460.47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712460.47</v>
      </c>
      <c r="G461" s="42">
        <f>G452+G460</f>
        <v>0</v>
      </c>
      <c r="H461" s="42">
        <f>H452+H460</f>
        <v>0</v>
      </c>
      <c r="I461" s="42">
        <f>I452+I460</f>
        <v>712460.47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1192786.1200000001</v>
      </c>
      <c r="G465" s="18">
        <v>-149.05000000000001</v>
      </c>
      <c r="H465" s="18">
        <v>187912.42</v>
      </c>
      <c r="I465" s="18">
        <v>514900.8</v>
      </c>
      <c r="J465" s="18">
        <v>696486.18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24559166.69-50000-585000-460885-55000</f>
        <v>23408281.690000001</v>
      </c>
      <c r="G468" s="18">
        <v>434368.49</v>
      </c>
      <c r="H468" s="18">
        <f>545434.75+49855+57200+146788.16</f>
        <v>799277.91</v>
      </c>
      <c r="I468" s="18">
        <v>17364660.440000001</v>
      </c>
      <c r="J468" s="18">
        <v>125000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149.05000000000001</v>
      </c>
      <c r="H469" s="18"/>
      <c r="I469" s="18"/>
      <c r="J469" s="18" t="s">
        <v>287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23408281.690000001</v>
      </c>
      <c r="G470" s="53">
        <f>SUM(G468:G469)</f>
        <v>434517.54</v>
      </c>
      <c r="H470" s="53">
        <f>SUM(H468:H469)</f>
        <v>799277.91</v>
      </c>
      <c r="I470" s="53">
        <f>SUM(I468:I469)</f>
        <v>17364660.440000001</v>
      </c>
      <c r="J470" s="53">
        <f>SUM(J468:J469)</f>
        <v>125000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23433694.28+2928.3</f>
        <v>23436622.580000002</v>
      </c>
      <c r="G472" s="18">
        <v>433406</v>
      </c>
      <c r="H472" s="18">
        <f>158463.92+52714.56+50000+545434.75</f>
        <v>806613.23</v>
      </c>
      <c r="I472" s="18">
        <v>13371421.390000001</v>
      </c>
      <c r="J472" s="18">
        <v>108700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>
        <v>325.70999999999998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23436622.580000002</v>
      </c>
      <c r="G474" s="53">
        <f>SUM(G472:G473)</f>
        <v>433406</v>
      </c>
      <c r="H474" s="53">
        <f>SUM(H472:H473)</f>
        <v>806613.23</v>
      </c>
      <c r="I474" s="53">
        <f>SUM(I472:I473)</f>
        <v>13371421.390000001</v>
      </c>
      <c r="J474" s="53">
        <f>SUM(J472:J473)</f>
        <v>109025.71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1164445.2300000004</v>
      </c>
      <c r="G476" s="53">
        <f>(G465+G470)- G474</f>
        <v>962.48999999999069</v>
      </c>
      <c r="H476" s="53">
        <f>(H465+H470)- H474</f>
        <v>180577.10000000009</v>
      </c>
      <c r="I476" s="53">
        <f>(I465+I470)- I474</f>
        <v>4508139.8500000015</v>
      </c>
      <c r="J476" s="53">
        <f>(J465+J470)- J474</f>
        <v>712460.47000000009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917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918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>
        <v>25</v>
      </c>
      <c r="H490" s="154">
        <v>25</v>
      </c>
      <c r="I490" s="154">
        <v>25</v>
      </c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 t="s">
        <v>914</v>
      </c>
      <c r="H491" s="154">
        <f>7/2/2015</f>
        <v>1.7369727047146402E-3</v>
      </c>
      <c r="I491" s="154">
        <f>1/7/16</f>
        <v>8.9285714285714281E-3</v>
      </c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 t="s">
        <v>916</v>
      </c>
      <c r="H492" s="154">
        <f>7/2/2040</f>
        <v>1.7156862745098039E-3</v>
      </c>
      <c r="I492" s="154">
        <f>1/7/2041</f>
        <v>6.9993700566948968E-5</v>
      </c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2012334</v>
      </c>
      <c r="G493" s="18">
        <v>4150000</v>
      </c>
      <c r="H493" s="18">
        <v>10000000</v>
      </c>
      <c r="I493" s="18">
        <v>7358000</v>
      </c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2.59</v>
      </c>
      <c r="G494" s="18">
        <v>3.01</v>
      </c>
      <c r="H494" s="18">
        <v>4.12</v>
      </c>
      <c r="I494" s="18">
        <v>4.26</v>
      </c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1913531.12</v>
      </c>
      <c r="G495" s="18">
        <v>4084109.84</v>
      </c>
      <c r="H495" s="18">
        <v>0</v>
      </c>
      <c r="I495" s="18">
        <v>0</v>
      </c>
      <c r="J495" s="18"/>
      <c r="K495" s="53">
        <f>SUM(F495:J495)</f>
        <v>5997640.96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>
        <v>10000000</v>
      </c>
      <c r="I496" s="18">
        <v>7358000</v>
      </c>
      <c r="J496" s="18"/>
      <c r="K496" s="53">
        <f t="shared" ref="K496:K503" si="35">SUM(F496:J496)</f>
        <v>17358000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82227.66</v>
      </c>
      <c r="G497" s="18">
        <v>104952.02</v>
      </c>
      <c r="H497" s="18">
        <v>198313.23</v>
      </c>
      <c r="I497" s="18">
        <v>62777.37</v>
      </c>
      <c r="J497" s="18"/>
      <c r="K497" s="53">
        <f t="shared" si="35"/>
        <v>448270.28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1913531.12-82227.66</f>
        <v>1831303.4600000002</v>
      </c>
      <c r="G498" s="204">
        <v>3979157.82</v>
      </c>
      <c r="H498" s="204">
        <v>9801686.7699999996</v>
      </c>
      <c r="I498" s="204">
        <v>7295222.6299999999</v>
      </c>
      <c r="J498" s="204"/>
      <c r="K498" s="205">
        <f t="shared" si="35"/>
        <v>22907370.68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405152.77-49755.84</f>
        <v>355396.93000000005</v>
      </c>
      <c r="G499" s="18">
        <f>1761729.3-111811.67-76819.73</f>
        <v>1573097.9000000001</v>
      </c>
      <c r="H499" s="18">
        <f>5673782</f>
        <v>5673782</v>
      </c>
      <c r="I499" s="18">
        <f>4627015.61</f>
        <v>4627015.6100000003</v>
      </c>
      <c r="J499" s="18"/>
      <c r="K499" s="53">
        <f t="shared" si="35"/>
        <v>12229292.440000001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2186700.39</v>
      </c>
      <c r="G500" s="42">
        <f>SUM(G498:G499)</f>
        <v>5552255.7199999997</v>
      </c>
      <c r="H500" s="42">
        <f>SUM(H498:H499)</f>
        <v>15475468.77</v>
      </c>
      <c r="I500" s="42">
        <f>SUM(I498:I499)</f>
        <v>11922238.24</v>
      </c>
      <c r="J500" s="42">
        <f>SUM(J498:J499)</f>
        <v>0</v>
      </c>
      <c r="K500" s="42">
        <f t="shared" si="35"/>
        <v>35136663.119999997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90858.66</v>
      </c>
      <c r="G501" s="204">
        <v>118313</v>
      </c>
      <c r="H501" s="204">
        <v>243291</v>
      </c>
      <c r="I501" s="204">
        <v>171937</v>
      </c>
      <c r="J501" s="204"/>
      <c r="K501" s="205">
        <f t="shared" si="35"/>
        <v>624399.66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47572.84</v>
      </c>
      <c r="G502" s="18">
        <v>118157</v>
      </c>
      <c r="H502" s="18">
        <v>399294</v>
      </c>
      <c r="I502" s="18">
        <v>307462</v>
      </c>
      <c r="J502" s="18"/>
      <c r="K502" s="53">
        <f t="shared" si="35"/>
        <v>872485.84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138431.5</v>
      </c>
      <c r="G503" s="42">
        <f>SUM(G501:G502)</f>
        <v>236470</v>
      </c>
      <c r="H503" s="42">
        <f>SUM(H501:H502)</f>
        <v>642585</v>
      </c>
      <c r="I503" s="42">
        <f>SUM(I501:I502)</f>
        <v>479399</v>
      </c>
      <c r="J503" s="42">
        <f>SUM(J501:J502)</f>
        <v>0</v>
      </c>
      <c r="K503" s="42">
        <f t="shared" si="35"/>
        <v>1496885.5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557887.61+806915.99+29011.76+32387.44+12858.22+64863.62</f>
        <v>1503924.6400000001</v>
      </c>
      <c r="G521" s="18">
        <f>450025.65+29733.96+101644.84+43707.74+85987+12818.38+615.05+5045.29+2417.97+3186.46+1472.56+454.99+3004.13</f>
        <v>740114.02000000014</v>
      </c>
      <c r="H521" s="18">
        <f>14926.39+25388.25+25531.31+43060.9+221523.56+37329.84+93.15+1364.77</f>
        <v>369218.17000000004</v>
      </c>
      <c r="I521" s="18">
        <f>1243.93+568.6+11609.94</f>
        <v>13422.470000000001</v>
      </c>
      <c r="J521" s="18">
        <f>1129.33</f>
        <v>1129.33</v>
      </c>
      <c r="K521" s="18"/>
      <c r="L521" s="88">
        <f>SUM(F521:K521)</f>
        <v>2627808.6300000004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173374.5+186320.21+27798.39</f>
        <v>387493.1</v>
      </c>
      <c r="G523" s="18">
        <f>186694.26+12496.24+26352.93+17147.7+27167.85+2162.26</f>
        <v>272021.24</v>
      </c>
      <c r="H523" s="18">
        <f>436669.29+184102.73+676.89+10880.67+94938.67+584.9</f>
        <v>727853.15000000014</v>
      </c>
      <c r="I523" s="18">
        <f>359.72+596.62+473.4+4975.69</f>
        <v>6405.4299999999994</v>
      </c>
      <c r="J523" s="18">
        <f>484</f>
        <v>484</v>
      </c>
      <c r="K523" s="18"/>
      <c r="L523" s="88">
        <f>SUM(F523:K523)</f>
        <v>1394256.9200000002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1891417.7400000002</v>
      </c>
      <c r="G524" s="108">
        <f t="shared" ref="G524:L524" si="36">SUM(G521:G523)</f>
        <v>1012135.2600000001</v>
      </c>
      <c r="H524" s="108">
        <f t="shared" si="36"/>
        <v>1097071.3200000003</v>
      </c>
      <c r="I524" s="108">
        <f t="shared" si="36"/>
        <v>19827.900000000001</v>
      </c>
      <c r="J524" s="108">
        <f t="shared" si="36"/>
        <v>1613.33</v>
      </c>
      <c r="K524" s="108">
        <f t="shared" si="36"/>
        <v>0</v>
      </c>
      <c r="L524" s="89">
        <f t="shared" si="36"/>
        <v>4022065.5500000007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(257620.58-77286.17)+70454+39644.65</f>
        <v>290433.06</v>
      </c>
      <c r="G526" s="18">
        <f>51658.53+7419.5+3512.51+890.26+573.81+16381.26+5326.66+15839.09+7869.68+365.31</f>
        <v>109836.60999999999</v>
      </c>
      <c r="H526" s="18">
        <f>26019.35+65744.96+34125+6318.9+425918.99</f>
        <v>558127.19999999995</v>
      </c>
      <c r="I526" s="18">
        <f>1681.6</f>
        <v>1681.6</v>
      </c>
      <c r="J526" s="18">
        <f>5140.44</f>
        <v>5140.4399999999996</v>
      </c>
      <c r="K526" s="18"/>
      <c r="L526" s="88">
        <f>SUM(F526:K526)</f>
        <v>965218.9099999998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(257620.58*0.3)+25055.5+16990.56</f>
        <v>119332.234</v>
      </c>
      <c r="G528" s="18">
        <f>22139.37+1505.36+204.06+7020.55+1871.76+6788.18+2798.82+135.3</f>
        <v>42463.4</v>
      </c>
      <c r="H528" s="18">
        <f>11151.15+28176.41+14625+2708.1+182536.71</f>
        <v>239197.37</v>
      </c>
      <c r="I528" s="18">
        <f>720.68</f>
        <v>720.68</v>
      </c>
      <c r="J528" s="18">
        <f>2203.05</f>
        <v>2203.0500000000002</v>
      </c>
      <c r="K528" s="18"/>
      <c r="L528" s="88">
        <f>SUM(F528:K528)</f>
        <v>403916.73399999994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409765.29399999999</v>
      </c>
      <c r="G529" s="89">
        <f t="shared" ref="G529:L529" si="37">SUM(G526:G528)</f>
        <v>152300.00999999998</v>
      </c>
      <c r="H529" s="89">
        <f t="shared" si="37"/>
        <v>797324.57</v>
      </c>
      <c r="I529" s="89">
        <f t="shared" si="37"/>
        <v>2402.2799999999997</v>
      </c>
      <c r="J529" s="89">
        <f t="shared" si="37"/>
        <v>7343.49</v>
      </c>
      <c r="K529" s="89">
        <f t="shared" si="37"/>
        <v>0</v>
      </c>
      <c r="L529" s="89">
        <f t="shared" si="37"/>
        <v>1369135.6439999999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95719*0.7+33180.7</f>
        <v>100184</v>
      </c>
      <c r="G531" s="18">
        <f>24411.31+1836.29+7457.73+11190.57+2100</f>
        <v>46995.9</v>
      </c>
      <c r="H531" s="18">
        <f>9786.53</f>
        <v>9786.5300000000007</v>
      </c>
      <c r="I531" s="18"/>
      <c r="J531" s="18">
        <f>17.5</f>
        <v>17.5</v>
      </c>
      <c r="K531" s="18"/>
      <c r="L531" s="88">
        <f>SUM(F531:K531)</f>
        <v>156983.93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95719*0.3+14220.3</f>
        <v>42936</v>
      </c>
      <c r="G533" s="18">
        <f>10461.99+786.98+3196.17+4795.95+900</f>
        <v>20141.09</v>
      </c>
      <c r="H533" s="18">
        <v>4194.22</v>
      </c>
      <c r="I533" s="18"/>
      <c r="J533" s="18">
        <f>7.5</f>
        <v>7.5</v>
      </c>
      <c r="K533" s="18"/>
      <c r="L533" s="88">
        <f>SUM(F533:K533)</f>
        <v>67278.81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143120</v>
      </c>
      <c r="G534" s="89">
        <f t="shared" ref="G534:L534" si="38">SUM(G531:G533)</f>
        <v>67136.990000000005</v>
      </c>
      <c r="H534" s="89">
        <f t="shared" si="38"/>
        <v>13980.75</v>
      </c>
      <c r="I534" s="89">
        <f t="shared" si="38"/>
        <v>0</v>
      </c>
      <c r="J534" s="89">
        <f t="shared" si="38"/>
        <v>25</v>
      </c>
      <c r="K534" s="89">
        <f t="shared" si="38"/>
        <v>0</v>
      </c>
      <c r="L534" s="89">
        <f t="shared" si="38"/>
        <v>224262.74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6440.81*0.7</f>
        <v>4508.567</v>
      </c>
      <c r="I536" s="18"/>
      <c r="J536" s="18"/>
      <c r="K536" s="18"/>
      <c r="L536" s="88">
        <f>SUM(F536:K536)</f>
        <v>4508.567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f>6440.81*0.3</f>
        <v>1932.2429999999999</v>
      </c>
      <c r="I538" s="18"/>
      <c r="J538" s="18"/>
      <c r="K538" s="18"/>
      <c r="L538" s="88">
        <f>SUM(F538:K538)</f>
        <v>1932.2429999999999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6440.8099999999995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6440.8099999999995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285441.35</f>
        <v>285441.34999999998</v>
      </c>
      <c r="I541" s="18"/>
      <c r="J541" s="18"/>
      <c r="K541" s="18"/>
      <c r="L541" s="88">
        <f>SUM(F541:K541)</f>
        <v>285441.34999999998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122332.01</f>
        <v>122332.01</v>
      </c>
      <c r="I543" s="18"/>
      <c r="J543" s="18"/>
      <c r="K543" s="18"/>
      <c r="L543" s="88">
        <f>SUM(F543:K543)</f>
        <v>122332.01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407773.36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407773.36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2444303.034</v>
      </c>
      <c r="G545" s="89">
        <f t="shared" ref="G545:L545" si="41">G524+G529+G534+G539+G544</f>
        <v>1231572.26</v>
      </c>
      <c r="H545" s="89">
        <f t="shared" si="41"/>
        <v>2322590.81</v>
      </c>
      <c r="I545" s="89">
        <f t="shared" si="41"/>
        <v>22230.18</v>
      </c>
      <c r="J545" s="89">
        <f t="shared" si="41"/>
        <v>8981.82</v>
      </c>
      <c r="K545" s="89">
        <f t="shared" si="41"/>
        <v>0</v>
      </c>
      <c r="L545" s="89">
        <f t="shared" si="41"/>
        <v>6029678.1040000003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2627808.6300000004</v>
      </c>
      <c r="G549" s="87">
        <f>L526</f>
        <v>965218.9099999998</v>
      </c>
      <c r="H549" s="87">
        <f>L531</f>
        <v>156983.93</v>
      </c>
      <c r="I549" s="87">
        <f>L536</f>
        <v>4508.567</v>
      </c>
      <c r="J549" s="87">
        <f>L541</f>
        <v>285441.34999999998</v>
      </c>
      <c r="K549" s="87">
        <f>SUM(F549:J549)</f>
        <v>4039961.3870000001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1394256.9200000002</v>
      </c>
      <c r="G551" s="87">
        <f>L528</f>
        <v>403916.73399999994</v>
      </c>
      <c r="H551" s="87">
        <f>L533</f>
        <v>67278.81</v>
      </c>
      <c r="I551" s="87">
        <f>L538</f>
        <v>1932.2429999999999</v>
      </c>
      <c r="J551" s="87">
        <f>L543</f>
        <v>122332.01</v>
      </c>
      <c r="K551" s="87">
        <f>SUM(F551:J551)</f>
        <v>1989716.7170000002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4022065.5500000007</v>
      </c>
      <c r="G552" s="89">
        <f t="shared" si="42"/>
        <v>1369135.6439999999</v>
      </c>
      <c r="H552" s="89">
        <f t="shared" si="42"/>
        <v>224262.74</v>
      </c>
      <c r="I552" s="89">
        <f t="shared" si="42"/>
        <v>6440.8099999999995</v>
      </c>
      <c r="J552" s="89">
        <f t="shared" si="42"/>
        <v>407773.36</v>
      </c>
      <c r="K552" s="89">
        <f t="shared" si="42"/>
        <v>6029678.1040000003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4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 t="s">
        <v>287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436669.29</v>
      </c>
      <c r="I580" s="87">
        <f t="shared" si="47"/>
        <v>436669.29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43060.95+221523.56</f>
        <v>264584.51</v>
      </c>
      <c r="G582" s="18"/>
      <c r="H582" s="18">
        <f>184102.73+94938.67</f>
        <v>279041.40000000002</v>
      </c>
      <c r="I582" s="87">
        <f>SUM(F582:H582)</f>
        <v>543625.91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f>37329.84</f>
        <v>37329.839999999997</v>
      </c>
      <c r="G583" s="18"/>
      <c r="H583" s="18"/>
      <c r="I583" s="87">
        <f t="shared" si="47"/>
        <v>37329.839999999997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537699.04</v>
      </c>
      <c r="I585" s="87">
        <f t="shared" si="47"/>
        <v>537699.04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424843.93</v>
      </c>
      <c r="I591" s="18"/>
      <c r="J591" s="18">
        <f>182075.97</f>
        <v>182075.97</v>
      </c>
      <c r="K591" s="104">
        <f t="shared" ref="K591:K597" si="48">SUM(H591:J591)</f>
        <v>606919.9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285441.35</f>
        <v>285441.34999999998</v>
      </c>
      <c r="I592" s="18"/>
      <c r="J592" s="18">
        <f>122332.01</f>
        <v>122332.01</v>
      </c>
      <c r="K592" s="104">
        <f t="shared" si="48"/>
        <v>407773.36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78666</v>
      </c>
      <c r="K593" s="104">
        <f t="shared" si="48"/>
        <v>78666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f>5128.69</f>
        <v>5128.6899999999996</v>
      </c>
      <c r="I594" s="18"/>
      <c r="J594" s="18">
        <f>25609.99+1827.79</f>
        <v>27437.780000000002</v>
      </c>
      <c r="K594" s="104">
        <f t="shared" si="48"/>
        <v>32566.47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4785.4+3117.07+8893.82+642.47</f>
        <v>17438.760000000002</v>
      </c>
      <c r="I595" s="18"/>
      <c r="J595" s="18">
        <f>5548.33+458.04</f>
        <v>6006.37</v>
      </c>
      <c r="K595" s="104">
        <f t="shared" si="48"/>
        <v>23445.13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732852.73</v>
      </c>
      <c r="I598" s="108">
        <f>SUM(I591:I597)</f>
        <v>0</v>
      </c>
      <c r="J598" s="108">
        <f>SUM(J591:J597)</f>
        <v>416518.13</v>
      </c>
      <c r="K598" s="108">
        <f>SUM(K591:K597)</f>
        <v>1149370.8599999999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64285.1+51706.08+28420.38+5198+68199.06+13940+119379.58+2618.22+9686.55-49548.02-31275</f>
        <v>282609.94999999995</v>
      </c>
      <c r="I604" s="18"/>
      <c r="J604" s="18">
        <f>61911.96+51162.67+1122.1+4151.38</f>
        <v>118348.11000000002</v>
      </c>
      <c r="K604" s="104">
        <f>SUM(H604:J604)</f>
        <v>400958.05999999994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282609.94999999995</v>
      </c>
      <c r="I605" s="108">
        <f>SUM(I602:I604)</f>
        <v>0</v>
      </c>
      <c r="J605" s="108">
        <f>SUM(J602:J604)</f>
        <v>118348.11000000002</v>
      </c>
      <c r="K605" s="108">
        <f>SUM(K602:K604)</f>
        <v>400958.05999999994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29011.76+12858.22</f>
        <v>41869.979999999996</v>
      </c>
      <c r="G611" s="18">
        <f>3186.46+454.99+3004.13</f>
        <v>6645.58</v>
      </c>
      <c r="H611" s="18">
        <f>14926.39+25531.31+43060.95+93.15</f>
        <v>83611.799999999988</v>
      </c>
      <c r="I611" s="18"/>
      <c r="J611" s="18"/>
      <c r="K611" s="18"/>
      <c r="L611" s="88">
        <f>SUM(F611:K611)</f>
        <v>132127.35999999999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41869.979999999996</v>
      </c>
      <c r="G614" s="108">
        <f t="shared" si="49"/>
        <v>6645.58</v>
      </c>
      <c r="H614" s="108">
        <f t="shared" si="49"/>
        <v>83611.799999999988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132127.35999999999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1353370.5699999998</v>
      </c>
      <c r="H617" s="109">
        <f>SUM(F52)</f>
        <v>1353370.57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19373.13</v>
      </c>
      <c r="H618" s="109">
        <f>SUM(G52)</f>
        <v>19373.130000000008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123362.33</v>
      </c>
      <c r="H619" s="109">
        <f>SUM(H52)</f>
        <v>123362.32999999997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4508139.8499999996</v>
      </c>
      <c r="H620" s="109">
        <f>SUM(I52)</f>
        <v>4508139.8499999996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712460.47</v>
      </c>
      <c r="H621" s="109">
        <f>SUM(J52)</f>
        <v>712460.47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1164445.23</v>
      </c>
      <c r="H622" s="109">
        <f>F476</f>
        <v>1164445.2300000004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962.49</v>
      </c>
      <c r="H623" s="109">
        <f>G476</f>
        <v>962.48999999999069</v>
      </c>
      <c r="I623" s="121" t="s">
        <v>102</v>
      </c>
      <c r="J623" s="109">
        <f t="shared" si="50"/>
        <v>9.3223206931725144E-12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180577.09999999998</v>
      </c>
      <c r="H624" s="109">
        <f>H476</f>
        <v>180577.10000000009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4508139.8499999996</v>
      </c>
      <c r="H625" s="109">
        <f>I476</f>
        <v>4508139.8500000015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712460.47</v>
      </c>
      <c r="H626" s="109">
        <f>J476</f>
        <v>712460.47000000009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23408281.690000001</v>
      </c>
      <c r="H627" s="104">
        <f>SUM(F468)</f>
        <v>23408281.690000001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434368.49</v>
      </c>
      <c r="H628" s="104">
        <f>SUM(G468)</f>
        <v>434368.49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799277.91</v>
      </c>
      <c r="H629" s="104">
        <f>SUM(H468)</f>
        <v>799277.91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17364660.440000001</v>
      </c>
      <c r="H630" s="104">
        <f>SUM(I468)</f>
        <v>17364660.440000001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125000</v>
      </c>
      <c r="H631" s="104">
        <f>SUM(J468)</f>
        <v>125000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23436622.579999998</v>
      </c>
      <c r="H632" s="104">
        <f>SUM(F472)</f>
        <v>23436622.580000002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806613.23</v>
      </c>
      <c r="H633" s="104">
        <f>SUM(H472)</f>
        <v>806613.23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433405.99999999994</v>
      </c>
      <c r="H635" s="104">
        <f>SUM(G472)</f>
        <v>433406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13371421.390000001</v>
      </c>
      <c r="H636" s="104">
        <f>SUM(I472)</f>
        <v>13371421.390000001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125000</v>
      </c>
      <c r="H637" s="164">
        <f>SUM(J468)</f>
        <v>125000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108700</v>
      </c>
      <c r="H638" s="164">
        <f>SUM(J472)</f>
        <v>108700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712460.47</v>
      </c>
      <c r="H639" s="104">
        <f>SUM(F461)</f>
        <v>712460.47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712460.47</v>
      </c>
      <c r="H642" s="104">
        <f>SUM(I461)</f>
        <v>712460.47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125000</v>
      </c>
      <c r="H645" s="104">
        <f>G408</f>
        <v>125000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125000</v>
      </c>
      <c r="H646" s="104">
        <f>L408</f>
        <v>125000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1149370.8599999999</v>
      </c>
      <c r="H647" s="104">
        <f>L208+L226+L244</f>
        <v>1149370.8599999999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400958.05999999994</v>
      </c>
      <c r="H648" s="104">
        <f>(J257+J338)-(J255+J336)</f>
        <v>400958.05999999994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732852.73</v>
      </c>
      <c r="H649" s="104">
        <f>H598</f>
        <v>732852.73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416518.13</v>
      </c>
      <c r="H651" s="104">
        <f>J598</f>
        <v>416518.13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 t="str">
        <f>K264</f>
        <v xml:space="preserve"> 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125000</v>
      </c>
      <c r="H655" s="104">
        <f>K266+K347</f>
        <v>125000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15247693.909999998</v>
      </c>
      <c r="G660" s="19">
        <f>(L229+L309+L359)</f>
        <v>0</v>
      </c>
      <c r="H660" s="19">
        <f>(L247+L328+L360)</f>
        <v>8085591.1499999994</v>
      </c>
      <c r="I660" s="19">
        <f>SUM(F660:H660)</f>
        <v>23333285.059999999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142800</v>
      </c>
      <c r="G661" s="19">
        <f>(L359/IF(SUM(L358:L360)=0,1,SUM(L358:L360))*(SUM(G97:G110)))</f>
        <v>0</v>
      </c>
      <c r="H661" s="19">
        <f>(L360/IF(SUM(L358:L360)=0,1,SUM(L358:L360))*(SUM(G97:G110)))</f>
        <v>61200</v>
      </c>
      <c r="I661" s="19">
        <f>SUM(F661:H661)</f>
        <v>204000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732852.73</v>
      </c>
      <c r="G662" s="19">
        <f>(L226+L306)-(J226+J306)</f>
        <v>0</v>
      </c>
      <c r="H662" s="19">
        <f>(L244+L325)-(J244+J325)</f>
        <v>416518.13</v>
      </c>
      <c r="I662" s="19">
        <f>SUM(F662:H662)</f>
        <v>1149370.8599999999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716651.65999999992</v>
      </c>
      <c r="G663" s="199">
        <f>SUM(G575:G587)+SUM(I602:I604)+L612</f>
        <v>0</v>
      </c>
      <c r="H663" s="199">
        <f>SUM(H575:H587)+SUM(J602:J604)+L613</f>
        <v>1371757.84</v>
      </c>
      <c r="I663" s="19">
        <f>SUM(F663:H663)</f>
        <v>2088409.5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13655389.519999998</v>
      </c>
      <c r="G664" s="19">
        <f>G660-SUM(G661:G663)</f>
        <v>0</v>
      </c>
      <c r="H664" s="19">
        <f>H660-SUM(H661:H663)</f>
        <v>6236115.1799999997</v>
      </c>
      <c r="I664" s="19">
        <f>I660-SUM(I661:I663)</f>
        <v>19891504.699999999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794.93</v>
      </c>
      <c r="G665" s="248"/>
      <c r="H665" s="248">
        <v>335.64</v>
      </c>
      <c r="I665" s="19">
        <f>SUM(F665:H665)</f>
        <v>1130.57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17178.099999999999</v>
      </c>
      <c r="G667" s="19" t="e">
        <f>ROUND(G664/G665,2)</f>
        <v>#DIV/0!</v>
      </c>
      <c r="H667" s="19">
        <f>ROUND(H664/H665,2)</f>
        <v>18579.77</v>
      </c>
      <c r="I667" s="19">
        <f>ROUND(I664/I665,2)</f>
        <v>17594.23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-18.61</v>
      </c>
      <c r="I670" s="19">
        <f>SUM(F670:H670)</f>
        <v>-18.61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17178.099999999999</v>
      </c>
      <c r="G672" s="19" t="e">
        <f>ROUND((G664+G669)/(G665+G670),2)</f>
        <v>#DIV/0!</v>
      </c>
      <c r="H672" s="19">
        <f>ROUND((H664+H669)/(H665+H670),2)</f>
        <v>19670.43</v>
      </c>
      <c r="I672" s="19">
        <f>ROUND((I664+I669)/(I665+I670),2)</f>
        <v>17888.689999999999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Mascoma Valley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6017161.9899999993</v>
      </c>
      <c r="C9" s="229">
        <f>'DOE25'!G197+'DOE25'!G215+'DOE25'!G233+'DOE25'!G276+'DOE25'!G295+'DOE25'!G314</f>
        <v>2901909.6999999993</v>
      </c>
    </row>
    <row r="10" spans="1:3" x14ac:dyDescent="0.2">
      <c r="A10" t="s">
        <v>779</v>
      </c>
      <c r="B10" s="240">
        <f>5082327.43+4966.8+800+40500+160055.5+27750+16841.25+10536.3</f>
        <v>5343777.2799999993</v>
      </c>
      <c r="C10" s="240">
        <f>1279755.61+100211.77+386095.88+375.49+60.2+798816+778.3+125.36+1272.61+2639.02+1271.09+1259.57</f>
        <v>2572660.8999999994</v>
      </c>
    </row>
    <row r="11" spans="1:3" x14ac:dyDescent="0.2">
      <c r="A11" t="s">
        <v>780</v>
      </c>
      <c r="B11" s="240">
        <f>1211+374174.9+2545.75+2000+20698</f>
        <v>400629.65</v>
      </c>
      <c r="C11" s="240">
        <f>57504.48+3810.4+28364.93+10308.67+133.84+1576.85+279.24</f>
        <v>101978.41</v>
      </c>
    </row>
    <row r="12" spans="1:3" x14ac:dyDescent="0.2">
      <c r="A12" t="s">
        <v>781</v>
      </c>
      <c r="B12" s="240">
        <f>115146+10000+18712.95+98861.5+11975.82+8037.29+10021.5</f>
        <v>272755.06</v>
      </c>
      <c r="C12" s="240">
        <f>20456.32+75000+1819.59+731.91+25388.53+8393.84+794.92+8454.45+14820.22+1567+7419.5+952.6+1554.57+1363.66+47781.56+10771.72</f>
        <v>227270.39000000004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6017161.9899999993</v>
      </c>
      <c r="C13" s="231">
        <f>SUM(C10:C12)</f>
        <v>2901909.6999999997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2444303.33</v>
      </c>
      <c r="C18" s="229">
        <f>'DOE25'!G198+'DOE25'!G216+'DOE25'!G234+'DOE25'!G277+'DOE25'!G296+'DOE25'!G315</f>
        <v>1231071.7</v>
      </c>
    </row>
    <row r="19" spans="1:3" x14ac:dyDescent="0.2">
      <c r="A19" t="s">
        <v>779</v>
      </c>
      <c r="B19" s="240">
        <f>988882.69+29011.76</f>
        <v>1017894.45</v>
      </c>
      <c r="C19" s="240">
        <f>236549.99+17368.14+74584.51+113154.85+3004.13+14525.11+3186.46</f>
        <v>462373.19</v>
      </c>
    </row>
    <row r="20" spans="1:3" x14ac:dyDescent="0.2">
      <c r="A20" t="s">
        <v>780</v>
      </c>
      <c r="B20" s="240">
        <f>1049871.41+32387.44+12858.22</f>
        <v>1095117.0699999998</v>
      </c>
      <c r="C20" s="240">
        <f>473967.82+12818.38+29879.94+615.05+76815.07+2417.97+68957.61+1472.56+454.99</f>
        <v>667399.39</v>
      </c>
    </row>
    <row r="21" spans="1:3" x14ac:dyDescent="0.2">
      <c r="A21" t="s">
        <v>781</v>
      </c>
      <c r="B21" s="240">
        <f>70454+47401+95719+92662.31+25055.5</f>
        <v>331291.81</v>
      </c>
      <c r="C21" s="240">
        <f>34873.3+7419.5+2623.28+890.26+573.81+7207.56+10653.9+5326.66+15986.53+7869.68+3000+204.06+1871.76+2798.82</f>
        <v>101299.12000000001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2444303.3299999996</v>
      </c>
      <c r="C22" s="231">
        <f>SUM(C19:C21)</f>
        <v>1231071.7000000002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96727</v>
      </c>
      <c r="C36" s="235">
        <f>'DOE25'!G200+'DOE25'!G218+'DOE25'!G236+'DOE25'!G279+'DOE25'!G298+'DOE25'!G317</f>
        <v>12887.630000000001</v>
      </c>
    </row>
    <row r="37" spans="1:3" x14ac:dyDescent="0.2">
      <c r="A37" t="s">
        <v>779</v>
      </c>
      <c r="B37" s="240">
        <f>96727</f>
        <v>96727</v>
      </c>
      <c r="C37" s="240">
        <f>18.73+7368.33+512.35+4988.22</f>
        <v>12887.630000000001</v>
      </c>
    </row>
    <row r="38" spans="1:3" x14ac:dyDescent="0.2">
      <c r="A38" t="s">
        <v>780</v>
      </c>
      <c r="B38" s="240"/>
      <c r="C38" s="240" t="s">
        <v>287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96727</v>
      </c>
      <c r="C40" s="231">
        <f>SUM(C37:C39)</f>
        <v>12887.630000000001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Mascoma Valley Regional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14869318.949999999</v>
      </c>
      <c r="D5" s="20">
        <f>SUM('DOE25'!L197:L200)+SUM('DOE25'!L215:L218)+SUM('DOE25'!L233:L236)-F5-G5</f>
        <v>14579266.6</v>
      </c>
      <c r="E5" s="243"/>
      <c r="F5" s="255">
        <f>SUM('DOE25'!J197:J200)+SUM('DOE25'!J215:J218)+SUM('DOE25'!J233:J236)</f>
        <v>253316.41999999998</v>
      </c>
      <c r="G5" s="53">
        <f>SUM('DOE25'!K197:K200)+SUM('DOE25'!K215:K218)+SUM('DOE25'!K233:K236)</f>
        <v>36735.93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1367775.94</v>
      </c>
      <c r="D6" s="20">
        <f>'DOE25'!L202+'DOE25'!L220+'DOE25'!L238-F6-G6</f>
        <v>1363277.06</v>
      </c>
      <c r="E6" s="243"/>
      <c r="F6" s="255">
        <f>'DOE25'!J202+'DOE25'!J220+'DOE25'!J238</f>
        <v>4498.88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527678.21</v>
      </c>
      <c r="D7" s="20">
        <f>'DOE25'!L203+'DOE25'!L221+'DOE25'!L239-F7-G7</f>
        <v>521423.76999999996</v>
      </c>
      <c r="E7" s="243"/>
      <c r="F7" s="255">
        <f>'DOE25'!J203+'DOE25'!J221+'DOE25'!J239</f>
        <v>6254.4400000000005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1024914.2799999999</v>
      </c>
      <c r="D8" s="243"/>
      <c r="E8" s="20">
        <f>'DOE25'!L204+'DOE25'!L222+'DOE25'!L240-F8-G8-D9-D11</f>
        <v>1011815.7</v>
      </c>
      <c r="F8" s="255">
        <f>'DOE25'!J204+'DOE25'!J222+'DOE25'!J240</f>
        <v>3740.3199999999997</v>
      </c>
      <c r="G8" s="53">
        <f>'DOE25'!K204+'DOE25'!K222+'DOE25'!K240</f>
        <v>9358.26</v>
      </c>
      <c r="H8" s="259"/>
    </row>
    <row r="9" spans="1:9" x14ac:dyDescent="0.2">
      <c r="A9" s="32">
        <v>2310</v>
      </c>
      <c r="B9" t="s">
        <v>818</v>
      </c>
      <c r="C9" s="245">
        <f t="shared" si="0"/>
        <v>42914.93</v>
      </c>
      <c r="D9" s="244">
        <f>5200+397.86+2036.25+605+14224.13+5884.25+14567.44</f>
        <v>42914.93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23800</v>
      </c>
      <c r="D10" s="243"/>
      <c r="E10" s="244">
        <v>23800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239763.83000000002</v>
      </c>
      <c r="D11" s="244">
        <f>118450+32980.77+13455.87+20034.08+15480.88+2698.04+1670.68+1290.98+173.2+1690.78+453.22+190.87+6875.34+1938.16+816.18+13230.88+3683.89+1503.01+383.15+432+1539.85+792</f>
        <v>239763.83000000002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1271555.32</v>
      </c>
      <c r="D12" s="20">
        <f>'DOE25'!L205+'DOE25'!L223+'DOE25'!L241-F12-G12</f>
        <v>1269765.32</v>
      </c>
      <c r="E12" s="243"/>
      <c r="F12" s="255">
        <f>'DOE25'!J205+'DOE25'!J223+'DOE25'!J241</f>
        <v>1790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1592424.7000000002</v>
      </c>
      <c r="D14" s="20">
        <f>'DOE25'!L207+'DOE25'!L225+'DOE25'!L243-F14-G14</f>
        <v>1562241.6900000002</v>
      </c>
      <c r="E14" s="243"/>
      <c r="F14" s="255">
        <f>'DOE25'!J207+'DOE25'!J225+'DOE25'!J243</f>
        <v>30183.01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1149370.8599999999</v>
      </c>
      <c r="D15" s="20">
        <f>'DOE25'!L208+'DOE25'!L226+'DOE25'!L244-F15-G15</f>
        <v>1149370.8599999999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7548.8099999999995</v>
      </c>
      <c r="D16" s="243"/>
      <c r="E16" s="20">
        <f>'DOE25'!L209+'DOE25'!L227+'DOE25'!L245-F16-G16</f>
        <v>7548.8099999999995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80823.01999999999</v>
      </c>
      <c r="D22" s="243"/>
      <c r="E22" s="243"/>
      <c r="F22" s="255">
        <f>'DOE25'!L255+'DOE25'!L336</f>
        <v>80823.01999999999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1137533.73</v>
      </c>
      <c r="D25" s="243"/>
      <c r="E25" s="243"/>
      <c r="F25" s="258"/>
      <c r="G25" s="256"/>
      <c r="H25" s="257">
        <f>'DOE25'!L260+'DOE25'!L261+'DOE25'!L341+'DOE25'!L342</f>
        <v>1137533.73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433405.99999999994</v>
      </c>
      <c r="D29" s="20">
        <f>'DOE25'!L358+'DOE25'!L359+'DOE25'!L360-'DOE25'!I367-F29-G29</f>
        <v>433405.99999999994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806613.23</v>
      </c>
      <c r="D31" s="20">
        <f>'DOE25'!L290+'DOE25'!L309+'DOE25'!L328+'DOE25'!L333+'DOE25'!L334+'DOE25'!L335-F31-G31</f>
        <v>689256.64</v>
      </c>
      <c r="E31" s="243"/>
      <c r="F31" s="255">
        <f>'DOE25'!J290+'DOE25'!J309+'DOE25'!J328+'DOE25'!J333+'DOE25'!J334+'DOE25'!J335</f>
        <v>101174.99</v>
      </c>
      <c r="G31" s="53">
        <f>'DOE25'!K290+'DOE25'!K309+'DOE25'!K328+'DOE25'!K333+'DOE25'!K334+'DOE25'!K335</f>
        <v>16181.6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21850686.699999999</v>
      </c>
      <c r="E33" s="246">
        <f>SUM(E5:E31)</f>
        <v>1043164.51</v>
      </c>
      <c r="F33" s="246">
        <f>SUM(F5:F31)</f>
        <v>481781.07999999996</v>
      </c>
      <c r="G33" s="246">
        <f>SUM(G5:G31)</f>
        <v>62275.79</v>
      </c>
      <c r="H33" s="246">
        <f>SUM(H5:H31)</f>
        <v>1137533.73</v>
      </c>
    </row>
    <row r="35" spans="2:8" ht="12" thickBot="1" x14ac:dyDescent="0.25">
      <c r="B35" s="253" t="s">
        <v>847</v>
      </c>
      <c r="D35" s="254">
        <f>E33</f>
        <v>1043164.51</v>
      </c>
      <c r="E35" s="249"/>
    </row>
    <row r="36" spans="2:8" ht="12" thickTop="1" x14ac:dyDescent="0.2">
      <c r="B36" t="s">
        <v>815</v>
      </c>
      <c r="D36" s="20">
        <f>D33</f>
        <v>21850686.699999999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Mascoma Valley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1456451.93</v>
      </c>
      <c r="D8" s="95">
        <f>'DOE25'!G9</f>
        <v>0</v>
      </c>
      <c r="E8" s="95">
        <f>'DOE25'!H9</f>
        <v>0</v>
      </c>
      <c r="F8" s="95">
        <f>'DOE25'!I9</f>
        <v>4508139.8499999996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-103081.36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712460.47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17558.79</v>
      </c>
      <c r="E12" s="95">
        <f>'DOE25'!H13</f>
        <v>122122.33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1814.34</v>
      </c>
      <c r="E13" s="95">
        <f>'DOE25'!H14</f>
        <v>1240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1353370.5699999998</v>
      </c>
      <c r="D18" s="41">
        <f>SUM(D8:D17)</f>
        <v>19373.13</v>
      </c>
      <c r="E18" s="41">
        <f>SUM(E8:E17)</f>
        <v>123362.33</v>
      </c>
      <c r="F18" s="41">
        <f>SUM(F8:F17)</f>
        <v>4508139.8499999996</v>
      </c>
      <c r="G18" s="41">
        <f>SUM(G8:G17)</f>
        <v>712460.47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 t="str">
        <f>'DOE25'!F22</f>
        <v xml:space="preserve"> </v>
      </c>
      <c r="D21" s="95">
        <f>'DOE25'!G22</f>
        <v>-45866.59</v>
      </c>
      <c r="E21" s="95">
        <f>'DOE25'!H22</f>
        <v>-57214.770000000004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 t="str">
        <f>'DOE25'!F23</f>
        <v xml:space="preserve"> 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167736.28</v>
      </c>
      <c r="D23" s="95">
        <f>'DOE25'!G24</f>
        <v>55667.9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22203.45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-1014.39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8609.33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188925.34</v>
      </c>
      <c r="D31" s="41">
        <f>SUM(D21:D30)</f>
        <v>18410.640000000007</v>
      </c>
      <c r="E31" s="41">
        <f>SUM(E21:E30)</f>
        <v>-57214.770000000004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300000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712460.47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962.49</v>
      </c>
      <c r="E48" s="95">
        <f>'DOE25'!H49</f>
        <v>180577.09999999998</v>
      </c>
      <c r="F48" s="95">
        <f>'DOE25'!I49</f>
        <v>4508139.8499999996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739445.23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1164445.23</v>
      </c>
      <c r="D50" s="41">
        <f>SUM(D34:D49)</f>
        <v>962.49</v>
      </c>
      <c r="E50" s="41">
        <f>SUM(E34:E49)</f>
        <v>180577.09999999998</v>
      </c>
      <c r="F50" s="41">
        <f>SUM(F34:F49)</f>
        <v>4508139.8499999996</v>
      </c>
      <c r="G50" s="41">
        <f>SUM(G34:G49)</f>
        <v>712460.47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1353370.57</v>
      </c>
      <c r="D51" s="41">
        <f>D50+D31</f>
        <v>19373.130000000008</v>
      </c>
      <c r="E51" s="41">
        <f>E50+E31</f>
        <v>123362.32999999997</v>
      </c>
      <c r="F51" s="41">
        <f>F50+F31</f>
        <v>4508139.8499999996</v>
      </c>
      <c r="G51" s="41">
        <f>G50+G31</f>
        <v>712460.47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16297428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107055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3197.69</v>
      </c>
      <c r="D59" s="95">
        <f>'DOE25'!G96</f>
        <v>0</v>
      </c>
      <c r="E59" s="95">
        <f>'DOE25'!H96</f>
        <v>0</v>
      </c>
      <c r="F59" s="95">
        <f>'DOE25'!I96</f>
        <v>6660.44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204000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70798.53</v>
      </c>
      <c r="D61" s="95">
        <f>SUM('DOE25'!G98:G110)</f>
        <v>0</v>
      </c>
      <c r="E61" s="95">
        <f>SUM('DOE25'!H98:H110)</f>
        <v>146788.16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73996.22</v>
      </c>
      <c r="D62" s="130">
        <f>SUM(D57:D61)</f>
        <v>204000</v>
      </c>
      <c r="E62" s="130">
        <f>SUM(E57:E61)</f>
        <v>253843.16</v>
      </c>
      <c r="F62" s="130">
        <f>SUM(F57:F61)</f>
        <v>6660.44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16371424.220000001</v>
      </c>
      <c r="D63" s="22">
        <f>D56+D62</f>
        <v>204000</v>
      </c>
      <c r="E63" s="22">
        <f>E56+E62</f>
        <v>253843.16</v>
      </c>
      <c r="F63" s="22">
        <f>F56+F62</f>
        <v>6660.44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3986689.31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2528267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6514956.3100000005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142488.20000000001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178137.75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5511.42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320625.95</v>
      </c>
      <c r="D78" s="130">
        <f>SUM(D72:D77)</f>
        <v>5511.42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6835582.2600000007</v>
      </c>
      <c r="D81" s="130">
        <f>SUM(D79:D80)+D78+D70</f>
        <v>5511.42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89896.52</v>
      </c>
      <c r="D88" s="95">
        <f>SUM('DOE25'!G153:G161)</f>
        <v>224857.07</v>
      </c>
      <c r="E88" s="95">
        <f>SUM('DOE25'!H153:H161)</f>
        <v>545434.75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2678.69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92575.21</v>
      </c>
      <c r="D91" s="131">
        <f>SUM(D85:D90)</f>
        <v>224857.07</v>
      </c>
      <c r="E91" s="131">
        <f>SUM(E85:E90)</f>
        <v>545434.75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125000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108700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17358000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108700</v>
      </c>
      <c r="D103" s="86">
        <f>SUM(D93:D102)</f>
        <v>0</v>
      </c>
      <c r="E103" s="86">
        <f>SUM(E93:E102)</f>
        <v>0</v>
      </c>
      <c r="F103" s="86">
        <f>SUM(F93:F102)</f>
        <v>17358000</v>
      </c>
      <c r="G103" s="86">
        <f>SUM(G93:G102)</f>
        <v>125000</v>
      </c>
    </row>
    <row r="104" spans="1:7" ht="12.75" thickTop="1" thickBot="1" x14ac:dyDescent="0.25">
      <c r="A104" s="33" t="s">
        <v>765</v>
      </c>
      <c r="C104" s="86">
        <f>C63+C81+C91+C103</f>
        <v>23408281.690000001</v>
      </c>
      <c r="D104" s="86">
        <f>D63+D81+D91+D103</f>
        <v>434368.49</v>
      </c>
      <c r="E104" s="86">
        <f>E63+E81+E91+E103</f>
        <v>799277.91</v>
      </c>
      <c r="F104" s="86">
        <f>F63+F81+F91+F103</f>
        <v>17364660.440000001</v>
      </c>
      <c r="G104" s="86">
        <f>G63+G81+G103</f>
        <v>125000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9335938.5499999989</v>
      </c>
      <c r="D109" s="24" t="s">
        <v>289</v>
      </c>
      <c r="E109" s="95">
        <f>('DOE25'!L276)+('DOE25'!L295)+('DOE25'!L314)</f>
        <v>440873.93999999994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4769430.3500000006</v>
      </c>
      <c r="D110" s="24" t="s">
        <v>289</v>
      </c>
      <c r="E110" s="95">
        <f>('DOE25'!L277)+('DOE25'!L296)+('DOE25'!L315)</f>
        <v>212729.38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537699.04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226251.01</v>
      </c>
      <c r="D112" s="24" t="s">
        <v>289</v>
      </c>
      <c r="E112" s="95">
        <f>+('DOE25'!L279)+('DOE25'!L298)+('DOE25'!L317)</f>
        <v>4066.87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14869318.949999997</v>
      </c>
      <c r="D115" s="86">
        <f>SUM(D109:D114)</f>
        <v>0</v>
      </c>
      <c r="E115" s="86">
        <f>SUM(E109:E114)</f>
        <v>657670.18999999994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1367775.94</v>
      </c>
      <c r="D118" s="24" t="s">
        <v>289</v>
      </c>
      <c r="E118" s="95">
        <f>+('DOE25'!L281)+('DOE25'!L300)+('DOE25'!L319)</f>
        <v>87870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527678.21</v>
      </c>
      <c r="D119" s="24" t="s">
        <v>289</v>
      </c>
      <c r="E119" s="95">
        <f>+('DOE25'!L282)+('DOE25'!L301)+('DOE25'!L320)</f>
        <v>61073.039999999994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1307593.04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1271555.32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1592424.7000000002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1149370.8599999999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7548.8099999999995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433405.99999999994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7223946.8799999999</v>
      </c>
      <c r="D128" s="86">
        <f>SUM(D118:D127)</f>
        <v>433405.99999999994</v>
      </c>
      <c r="E128" s="86">
        <f>SUM(E118:E127)</f>
        <v>148943.03999999998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80823.01999999999</v>
      </c>
      <c r="D130" s="24" t="s">
        <v>289</v>
      </c>
      <c r="E130" s="129">
        <f>'DOE25'!L336</f>
        <v>0</v>
      </c>
      <c r="F130" s="129">
        <f>SUM('DOE25'!L374:'DOE25'!L380)</f>
        <v>13371421.390000001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448270.28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689263.45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108700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125000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1343356.75</v>
      </c>
      <c r="D144" s="141">
        <f>SUM(D130:D143)</f>
        <v>0</v>
      </c>
      <c r="E144" s="141">
        <f>SUM(E130:E143)</f>
        <v>0</v>
      </c>
      <c r="F144" s="141">
        <f>SUM(F130:F143)</f>
        <v>13371421.390000001</v>
      </c>
      <c r="G144" s="141">
        <f>SUM(G130:G143)</f>
        <v>108700</v>
      </c>
    </row>
    <row r="145" spans="1:9" ht="12.75" thickTop="1" thickBot="1" x14ac:dyDescent="0.25">
      <c r="A145" s="33" t="s">
        <v>244</v>
      </c>
      <c r="C145" s="86">
        <f>(C115+C128+C144)</f>
        <v>23436622.579999998</v>
      </c>
      <c r="D145" s="86">
        <f>(D115+D128+D144)</f>
        <v>433405.99999999994</v>
      </c>
      <c r="E145" s="86">
        <f>(E115+E128+E144)</f>
        <v>806613.23</v>
      </c>
      <c r="F145" s="86">
        <f>(F115+F128+F144)</f>
        <v>13371421.390000001</v>
      </c>
      <c r="G145" s="86">
        <f>(G115+G128+G144)</f>
        <v>108700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25</v>
      </c>
      <c r="D151" s="153">
        <f>'DOE25'!H490</f>
        <v>25</v>
      </c>
      <c r="E151" s="153">
        <f>'DOE25'!I490</f>
        <v>25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5/2013</v>
      </c>
      <c r="C152" s="152" t="str">
        <f>'DOE25'!G491</f>
        <v>6/12/14</v>
      </c>
      <c r="D152" s="152">
        <f>'DOE25'!H491</f>
        <v>1.7369727047146402E-3</v>
      </c>
      <c r="E152" s="152">
        <f>'DOE25'!I491</f>
        <v>8.9285714285714281E-3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11/2028</v>
      </c>
      <c r="C153" s="152" t="str">
        <f>'DOE25'!G492</f>
        <v>12/12/2039</v>
      </c>
      <c r="D153" s="152">
        <f>'DOE25'!H492</f>
        <v>1.7156862745098039E-3</v>
      </c>
      <c r="E153" s="152">
        <f>'DOE25'!I492</f>
        <v>6.9993700566948968E-5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2012334</v>
      </c>
      <c r="C154" s="137">
        <f>'DOE25'!G493</f>
        <v>4150000</v>
      </c>
      <c r="D154" s="137">
        <f>'DOE25'!H493</f>
        <v>10000000</v>
      </c>
      <c r="E154" s="137">
        <f>'DOE25'!I493</f>
        <v>7358000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2.59</v>
      </c>
      <c r="C155" s="137">
        <f>'DOE25'!G494</f>
        <v>3.01</v>
      </c>
      <c r="D155" s="137">
        <f>'DOE25'!H494</f>
        <v>4.12</v>
      </c>
      <c r="E155" s="137">
        <f>'DOE25'!I494</f>
        <v>4.26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1913531.12</v>
      </c>
      <c r="C156" s="137">
        <f>'DOE25'!G495</f>
        <v>4084109.84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5997640.96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10000000</v>
      </c>
      <c r="E157" s="137">
        <f>'DOE25'!I496</f>
        <v>7358000</v>
      </c>
      <c r="F157" s="137">
        <f>'DOE25'!J496</f>
        <v>0</v>
      </c>
      <c r="G157" s="138">
        <f t="shared" ref="G157:G164" si="0">SUM(B157:F157)</f>
        <v>17358000</v>
      </c>
    </row>
    <row r="158" spans="1:9" x14ac:dyDescent="0.2">
      <c r="A158" s="22" t="s">
        <v>34</v>
      </c>
      <c r="B158" s="137">
        <f>'DOE25'!F497</f>
        <v>82227.66</v>
      </c>
      <c r="C158" s="137">
        <f>'DOE25'!G497</f>
        <v>104952.02</v>
      </c>
      <c r="D158" s="137">
        <f>'DOE25'!H497</f>
        <v>198313.23</v>
      </c>
      <c r="E158" s="137">
        <f>'DOE25'!I497</f>
        <v>62777.37</v>
      </c>
      <c r="F158" s="137">
        <f>'DOE25'!J497</f>
        <v>0</v>
      </c>
      <c r="G158" s="138">
        <f t="shared" si="0"/>
        <v>448270.28</v>
      </c>
    </row>
    <row r="159" spans="1:9" x14ac:dyDescent="0.2">
      <c r="A159" s="22" t="s">
        <v>35</v>
      </c>
      <c r="B159" s="137">
        <f>'DOE25'!F498</f>
        <v>1831303.4600000002</v>
      </c>
      <c r="C159" s="137">
        <f>'DOE25'!G498</f>
        <v>3979157.82</v>
      </c>
      <c r="D159" s="137">
        <f>'DOE25'!H498</f>
        <v>9801686.7699999996</v>
      </c>
      <c r="E159" s="137">
        <f>'DOE25'!I498</f>
        <v>7295222.6299999999</v>
      </c>
      <c r="F159" s="137">
        <f>'DOE25'!J498</f>
        <v>0</v>
      </c>
      <c r="G159" s="138">
        <f t="shared" si="0"/>
        <v>22907370.68</v>
      </c>
    </row>
    <row r="160" spans="1:9" x14ac:dyDescent="0.2">
      <c r="A160" s="22" t="s">
        <v>36</v>
      </c>
      <c r="B160" s="137">
        <f>'DOE25'!F499</f>
        <v>355396.93000000005</v>
      </c>
      <c r="C160" s="137">
        <f>'DOE25'!G499</f>
        <v>1573097.9000000001</v>
      </c>
      <c r="D160" s="137">
        <f>'DOE25'!H499</f>
        <v>5673782</v>
      </c>
      <c r="E160" s="137">
        <f>'DOE25'!I499</f>
        <v>4627015.6100000003</v>
      </c>
      <c r="F160" s="137">
        <f>'DOE25'!J499</f>
        <v>0</v>
      </c>
      <c r="G160" s="138">
        <f t="shared" si="0"/>
        <v>12229292.440000001</v>
      </c>
    </row>
    <row r="161" spans="1:7" x14ac:dyDescent="0.2">
      <c r="A161" s="22" t="s">
        <v>37</v>
      </c>
      <c r="B161" s="137">
        <f>'DOE25'!F500</f>
        <v>2186700.39</v>
      </c>
      <c r="C161" s="137">
        <f>'DOE25'!G500</f>
        <v>5552255.7199999997</v>
      </c>
      <c r="D161" s="137">
        <f>'DOE25'!H500</f>
        <v>15475468.77</v>
      </c>
      <c r="E161" s="137">
        <f>'DOE25'!I500</f>
        <v>11922238.24</v>
      </c>
      <c r="F161" s="137">
        <f>'DOE25'!J500</f>
        <v>0</v>
      </c>
      <c r="G161" s="138">
        <f t="shared" si="0"/>
        <v>35136663.119999997</v>
      </c>
    </row>
    <row r="162" spans="1:7" x14ac:dyDescent="0.2">
      <c r="A162" s="22" t="s">
        <v>38</v>
      </c>
      <c r="B162" s="137">
        <f>'DOE25'!F501</f>
        <v>90858.66</v>
      </c>
      <c r="C162" s="137">
        <f>'DOE25'!G501</f>
        <v>118313</v>
      </c>
      <c r="D162" s="137">
        <f>'DOE25'!H501</f>
        <v>243291</v>
      </c>
      <c r="E162" s="137">
        <f>'DOE25'!I501</f>
        <v>171937</v>
      </c>
      <c r="F162" s="137">
        <f>'DOE25'!J501</f>
        <v>0</v>
      </c>
      <c r="G162" s="138">
        <f t="shared" si="0"/>
        <v>624399.66</v>
      </c>
    </row>
    <row r="163" spans="1:7" x14ac:dyDescent="0.2">
      <c r="A163" s="22" t="s">
        <v>39</v>
      </c>
      <c r="B163" s="137">
        <f>'DOE25'!F502</f>
        <v>47572.84</v>
      </c>
      <c r="C163" s="137">
        <f>'DOE25'!G502</f>
        <v>118157</v>
      </c>
      <c r="D163" s="137">
        <f>'DOE25'!H502</f>
        <v>399294</v>
      </c>
      <c r="E163" s="137">
        <f>'DOE25'!I502</f>
        <v>307462</v>
      </c>
      <c r="F163" s="137">
        <f>'DOE25'!J502</f>
        <v>0</v>
      </c>
      <c r="G163" s="138">
        <f t="shared" si="0"/>
        <v>872485.84</v>
      </c>
    </row>
    <row r="164" spans="1:7" x14ac:dyDescent="0.2">
      <c r="A164" s="22" t="s">
        <v>246</v>
      </c>
      <c r="B164" s="137">
        <f>'DOE25'!F503</f>
        <v>138431.5</v>
      </c>
      <c r="C164" s="137">
        <f>'DOE25'!G503</f>
        <v>236470</v>
      </c>
      <c r="D164" s="137">
        <f>'DOE25'!H503</f>
        <v>642585</v>
      </c>
      <c r="E164" s="137">
        <f>'DOE25'!I503</f>
        <v>479399</v>
      </c>
      <c r="F164" s="137">
        <f>'DOE25'!J503</f>
        <v>0</v>
      </c>
      <c r="G164" s="138">
        <f t="shared" si="0"/>
        <v>1496885.5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Mascoma Valley Regional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17178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19670</v>
      </c>
    </row>
    <row r="7" spans="1:4" x14ac:dyDescent="0.2">
      <c r="B7" t="s">
        <v>705</v>
      </c>
      <c r="C7" s="179">
        <f>IF('DOE25'!I665+'DOE25'!I670=0,0,ROUND('DOE25'!I672,0))</f>
        <v>17889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9776812</v>
      </c>
      <c r="D10" s="182">
        <f>ROUND((C10/$C$28)*100,1)</f>
        <v>41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4982160</v>
      </c>
      <c r="D11" s="182">
        <f>ROUND((C11/$C$28)*100,1)</f>
        <v>20.9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537699</v>
      </c>
      <c r="D12" s="182">
        <f>ROUND((C12/$C$28)*100,1)</f>
        <v>2.2999999999999998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230318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1455646</v>
      </c>
      <c r="D15" s="182">
        <f t="shared" ref="D15:D27" si="0">ROUND((C15/$C$28)*100,1)</f>
        <v>6.1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588751</v>
      </c>
      <c r="D16" s="182">
        <f t="shared" si="0"/>
        <v>2.5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1315142</v>
      </c>
      <c r="D17" s="182">
        <f t="shared" si="0"/>
        <v>5.5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1271555</v>
      </c>
      <c r="D18" s="182">
        <f t="shared" si="0"/>
        <v>5.3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1592425</v>
      </c>
      <c r="D20" s="182">
        <f t="shared" si="0"/>
        <v>6.7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1149371</v>
      </c>
      <c r="D21" s="182">
        <f t="shared" si="0"/>
        <v>4.8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689263</v>
      </c>
      <c r="D25" s="182">
        <f t="shared" si="0"/>
        <v>2.9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229406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23818548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13452244</v>
      </c>
    </row>
    <row r="30" spans="1:4" x14ac:dyDescent="0.2">
      <c r="B30" s="187" t="s">
        <v>729</v>
      </c>
      <c r="C30" s="180">
        <f>SUM(C28:C29)</f>
        <v>37270792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448270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16297428</v>
      </c>
      <c r="D35" s="182">
        <f t="shared" ref="D35:D40" si="1">ROUND((C35/$C$41)*100,1)</f>
        <v>39.1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334499.8200000003</v>
      </c>
      <c r="D36" s="182">
        <f t="shared" si="1"/>
        <v>0.8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6514956</v>
      </c>
      <c r="D37" s="182">
        <f t="shared" si="1"/>
        <v>15.6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326137</v>
      </c>
      <c r="D38" s="182">
        <f t="shared" si="1"/>
        <v>0.8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862867</v>
      </c>
      <c r="D39" s="182">
        <f t="shared" si="1"/>
        <v>2.1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17358000</v>
      </c>
      <c r="D40" s="182">
        <f t="shared" si="1"/>
        <v>41.6</v>
      </c>
    </row>
    <row r="41" spans="1:4" x14ac:dyDescent="0.2">
      <c r="B41" s="187" t="s">
        <v>736</v>
      </c>
      <c r="C41" s="180">
        <f>SUM(C35:C40)</f>
        <v>41693887.82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N5" sqref="N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Mascoma Valley Regional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3</v>
      </c>
      <c r="B4" s="219">
        <v>24</v>
      </c>
      <c r="C4" s="285" t="s">
        <v>919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920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2016-08-12T14:27:44Z</cp:lastPrinted>
  <dcterms:created xsi:type="dcterms:W3CDTF">1997-12-04T19:04:30Z</dcterms:created>
  <dcterms:modified xsi:type="dcterms:W3CDTF">2016-11-30T16:35:37Z</dcterms:modified>
</cp:coreProperties>
</file>