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0490" windowHeight="77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9" i="1" l="1"/>
  <c r="F498" i="1"/>
  <c r="F495" i="1"/>
  <c r="F28" i="1"/>
  <c r="H472" i="1"/>
  <c r="G472" i="1"/>
  <c r="G468" i="1"/>
  <c r="G158" i="1"/>
  <c r="F367" i="1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47" i="1" s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9" i="1" s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3" i="10"/>
  <c r="C20" i="10"/>
  <c r="L250" i="1"/>
  <c r="L332" i="1"/>
  <c r="L254" i="1"/>
  <c r="L268" i="1"/>
  <c r="L269" i="1"/>
  <c r="L349" i="1"/>
  <c r="L350" i="1"/>
  <c r="I665" i="1"/>
  <c r="I670" i="1"/>
  <c r="H662" i="1"/>
  <c r="I669" i="1"/>
  <c r="C42" i="10"/>
  <c r="C32" i="10"/>
  <c r="L374" i="1"/>
  <c r="L375" i="1"/>
  <c r="L376" i="1"/>
  <c r="L377" i="1"/>
  <c r="L378" i="1"/>
  <c r="F130" i="2" s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C18" i="2" s="1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C91" i="2" s="1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E114" i="2"/>
  <c r="D115" i="2"/>
  <c r="F115" i="2"/>
  <c r="G115" i="2"/>
  <c r="C118" i="2"/>
  <c r="C119" i="2"/>
  <c r="E119" i="2"/>
  <c r="E120" i="2"/>
  <c r="E121" i="2"/>
  <c r="C122" i="2"/>
  <c r="C123" i="2"/>
  <c r="E123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J639" i="1" s="1"/>
  <c r="G460" i="1"/>
  <c r="H460" i="1"/>
  <c r="H461" i="1"/>
  <c r="G470" i="1"/>
  <c r="G476" i="1" s="1"/>
  <c r="H623" i="1" s="1"/>
  <c r="I470" i="1"/>
  <c r="I476" i="1" s="1"/>
  <c r="H625" i="1" s="1"/>
  <c r="J625" i="1" s="1"/>
  <c r="J470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K545" i="1" s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5" i="1"/>
  <c r="H628" i="1"/>
  <c r="H630" i="1"/>
  <c r="H631" i="1"/>
  <c r="H633" i="1"/>
  <c r="G634" i="1"/>
  <c r="H635" i="1"/>
  <c r="H636" i="1"/>
  <c r="H637" i="1"/>
  <c r="H638" i="1"/>
  <c r="G639" i="1"/>
  <c r="G641" i="1"/>
  <c r="H641" i="1"/>
  <c r="J641" i="1" s="1"/>
  <c r="G643" i="1"/>
  <c r="H643" i="1"/>
  <c r="G644" i="1"/>
  <c r="G645" i="1"/>
  <c r="H645" i="1"/>
  <c r="J645" i="1" s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G257" i="1"/>
  <c r="G271" i="1" s="1"/>
  <c r="C26" i="10"/>
  <c r="L351" i="1"/>
  <c r="A31" i="12"/>
  <c r="A40" i="12"/>
  <c r="D17" i="13"/>
  <c r="C17" i="13" s="1"/>
  <c r="D6" i="13"/>
  <c r="C6" i="13" s="1"/>
  <c r="F78" i="2"/>
  <c r="D50" i="2"/>
  <c r="F18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K605" i="1"/>
  <c r="G648" i="1" s="1"/>
  <c r="L433" i="1"/>
  <c r="D81" i="2"/>
  <c r="I169" i="1"/>
  <c r="G552" i="1"/>
  <c r="J643" i="1"/>
  <c r="J476" i="1"/>
  <c r="H626" i="1" s="1"/>
  <c r="G338" i="1"/>
  <c r="G352" i="1" s="1"/>
  <c r="F169" i="1"/>
  <c r="J140" i="1"/>
  <c r="F571" i="1"/>
  <c r="I552" i="1"/>
  <c r="G22" i="2"/>
  <c r="J552" i="1"/>
  <c r="H140" i="1"/>
  <c r="L401" i="1"/>
  <c r="C139" i="2" s="1"/>
  <c r="A13" i="12"/>
  <c r="F22" i="13"/>
  <c r="H571" i="1"/>
  <c r="F338" i="1"/>
  <c r="F352" i="1" s="1"/>
  <c r="H192" i="1"/>
  <c r="C35" i="10"/>
  <c r="J655" i="1"/>
  <c r="L570" i="1"/>
  <c r="I571" i="1"/>
  <c r="I545" i="1"/>
  <c r="G36" i="2"/>
  <c r="G545" i="1"/>
  <c r="K551" i="1"/>
  <c r="C22" i="13"/>
  <c r="G164" i="2" l="1"/>
  <c r="G161" i="2"/>
  <c r="G156" i="2"/>
  <c r="K549" i="1"/>
  <c r="K552" i="1" s="1"/>
  <c r="H545" i="1"/>
  <c r="F552" i="1"/>
  <c r="L545" i="1"/>
  <c r="H552" i="1"/>
  <c r="K598" i="1"/>
  <c r="G647" i="1" s="1"/>
  <c r="J647" i="1" s="1"/>
  <c r="H408" i="1"/>
  <c r="H644" i="1" s="1"/>
  <c r="J644" i="1" s="1"/>
  <c r="D62" i="2"/>
  <c r="D63" i="2" s="1"/>
  <c r="D91" i="2"/>
  <c r="I446" i="1"/>
  <c r="G642" i="1" s="1"/>
  <c r="L362" i="1"/>
  <c r="F661" i="1"/>
  <c r="J634" i="1"/>
  <c r="C16" i="10"/>
  <c r="C109" i="2"/>
  <c r="L229" i="1"/>
  <c r="C132" i="2"/>
  <c r="K271" i="1"/>
  <c r="J651" i="1"/>
  <c r="G662" i="1"/>
  <c r="C19" i="10"/>
  <c r="C17" i="10"/>
  <c r="H660" i="1"/>
  <c r="C11" i="10"/>
  <c r="C110" i="2"/>
  <c r="C115" i="2" s="1"/>
  <c r="J257" i="1"/>
  <c r="J271" i="1" s="1"/>
  <c r="L211" i="1"/>
  <c r="L257" i="1" s="1"/>
  <c r="L271" i="1" s="1"/>
  <c r="C10" i="10"/>
  <c r="H257" i="1"/>
  <c r="H271" i="1" s="1"/>
  <c r="I460" i="1"/>
  <c r="G461" i="1"/>
  <c r="H640" i="1" s="1"/>
  <c r="I452" i="1"/>
  <c r="J640" i="1"/>
  <c r="H338" i="1"/>
  <c r="H352" i="1" s="1"/>
  <c r="C81" i="2"/>
  <c r="F112" i="1"/>
  <c r="H52" i="1"/>
  <c r="H619" i="1" s="1"/>
  <c r="J619" i="1" s="1"/>
  <c r="J623" i="1"/>
  <c r="D31" i="2"/>
  <c r="D51" i="2" s="1"/>
  <c r="J617" i="1"/>
  <c r="C16" i="13"/>
  <c r="L290" i="1"/>
  <c r="K503" i="1"/>
  <c r="L382" i="1"/>
  <c r="G636" i="1" s="1"/>
  <c r="J636" i="1" s="1"/>
  <c r="E122" i="2"/>
  <c r="E118" i="2"/>
  <c r="E128" i="2" s="1"/>
  <c r="E109" i="2"/>
  <c r="E115" i="2" s="1"/>
  <c r="C15" i="10"/>
  <c r="C29" i="10"/>
  <c r="D15" i="13"/>
  <c r="C15" i="13" s="1"/>
  <c r="D127" i="2"/>
  <c r="D128" i="2" s="1"/>
  <c r="D145" i="2" s="1"/>
  <c r="C57" i="2"/>
  <c r="C62" i="2" s="1"/>
  <c r="C63" i="2" s="1"/>
  <c r="C104" i="2" s="1"/>
  <c r="F662" i="1"/>
  <c r="I662" i="1" s="1"/>
  <c r="H25" i="13"/>
  <c r="F81" i="2"/>
  <c r="L614" i="1"/>
  <c r="H661" i="1"/>
  <c r="C21" i="10"/>
  <c r="C12" i="10"/>
  <c r="D5" i="13"/>
  <c r="C5" i="13" s="1"/>
  <c r="D29" i="13"/>
  <c r="C29" i="13" s="1"/>
  <c r="K500" i="1"/>
  <c r="I52" i="1"/>
  <c r="H620" i="1" s="1"/>
  <c r="J620" i="1" s="1"/>
  <c r="C121" i="2"/>
  <c r="G661" i="1"/>
  <c r="E8" i="13"/>
  <c r="C8" i="13" s="1"/>
  <c r="D12" i="13"/>
  <c r="C12" i="13" s="1"/>
  <c r="K352" i="1"/>
  <c r="G649" i="1"/>
  <c r="J649" i="1" s="1"/>
  <c r="C124" i="2"/>
  <c r="C120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D103" i="2"/>
  <c r="I140" i="1"/>
  <c r="I193" i="1" s="1"/>
  <c r="G630" i="1" s="1"/>
  <c r="J630" i="1" s="1"/>
  <c r="A22" i="12"/>
  <c r="G50" i="2"/>
  <c r="H648" i="1"/>
  <c r="J648" i="1" s="1"/>
  <c r="J652" i="1"/>
  <c r="G571" i="1"/>
  <c r="I434" i="1"/>
  <c r="G434" i="1"/>
  <c r="I663" i="1"/>
  <c r="C27" i="10"/>
  <c r="G635" i="1"/>
  <c r="J635" i="1" s="1"/>
  <c r="G629" i="1" l="1"/>
  <c r="H468" i="1"/>
  <c r="D104" i="2"/>
  <c r="F193" i="1"/>
  <c r="I661" i="1"/>
  <c r="G664" i="1"/>
  <c r="G667" i="1" s="1"/>
  <c r="E145" i="2"/>
  <c r="C128" i="2"/>
  <c r="C145" i="2" s="1"/>
  <c r="H664" i="1"/>
  <c r="H672" i="1" s="1"/>
  <c r="C6" i="10" s="1"/>
  <c r="F660" i="1"/>
  <c r="F664" i="1" s="1"/>
  <c r="F672" i="1" s="1"/>
  <c r="C4" i="10" s="1"/>
  <c r="C28" i="10"/>
  <c r="D16" i="10" s="1"/>
  <c r="G632" i="1"/>
  <c r="F472" i="1"/>
  <c r="I461" i="1"/>
  <c r="H642" i="1" s="1"/>
  <c r="J642" i="1" s="1"/>
  <c r="G51" i="2"/>
  <c r="D31" i="13"/>
  <c r="C31" i="13" s="1"/>
  <c r="L338" i="1"/>
  <c r="L352" i="1" s="1"/>
  <c r="G633" i="1" s="1"/>
  <c r="J633" i="1" s="1"/>
  <c r="C25" i="13"/>
  <c r="H33" i="13"/>
  <c r="F51" i="2"/>
  <c r="E33" i="13"/>
  <c r="D35" i="13" s="1"/>
  <c r="L408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470" i="1" l="1"/>
  <c r="H476" i="1" s="1"/>
  <c r="H624" i="1" s="1"/>
  <c r="J624" i="1" s="1"/>
  <c r="H629" i="1"/>
  <c r="J629" i="1" s="1"/>
  <c r="G627" i="1"/>
  <c r="F468" i="1"/>
  <c r="G672" i="1"/>
  <c r="C5" i="10" s="1"/>
  <c r="D12" i="10"/>
  <c r="D13" i="10"/>
  <c r="D11" i="10"/>
  <c r="D17" i="10"/>
  <c r="H667" i="1"/>
  <c r="D24" i="10"/>
  <c r="D23" i="10"/>
  <c r="D27" i="10"/>
  <c r="C30" i="10"/>
  <c r="D10" i="10"/>
  <c r="D25" i="10"/>
  <c r="D20" i="10"/>
  <c r="D21" i="10"/>
  <c r="D18" i="10"/>
  <c r="D19" i="10"/>
  <c r="D15" i="10"/>
  <c r="D22" i="10"/>
  <c r="I660" i="1"/>
  <c r="I664" i="1" s="1"/>
  <c r="I672" i="1" s="1"/>
  <c r="C7" i="10" s="1"/>
  <c r="F667" i="1"/>
  <c r="D26" i="10"/>
  <c r="H632" i="1"/>
  <c r="J632" i="1" s="1"/>
  <c r="F474" i="1"/>
  <c r="G637" i="1"/>
  <c r="J637" i="1" s="1"/>
  <c r="H646" i="1"/>
  <c r="J646" i="1" s="1"/>
  <c r="C41" i="10"/>
  <c r="D38" i="10" s="1"/>
  <c r="H627" i="1" l="1"/>
  <c r="F470" i="1"/>
  <c r="F476" i="1"/>
  <c r="H622" i="1" s="1"/>
  <c r="J622" i="1" s="1"/>
  <c r="J627" i="1"/>
  <c r="D28" i="10"/>
  <c r="I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<sst xmlns="http://schemas.openxmlformats.org/spreadsheetml/2006/main" count="3957" uniqueCount="915">
  <si>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</si>
  <si>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</si>
  <si>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</si>
  <si>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</si>
  <si>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</si>
  <si>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</si>
  <si>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</si>
  <si>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</si>
  <si>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</si>
  <si>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</si>
  <si>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</si>
  <si>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</si>
  <si>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</si>
  <si>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</si>
  <si>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</si>
  <si>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</si>
  <si>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</si>
  <si>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</si>
  <si>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</si>
  <si>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</si>
  <si>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</si>
  <si>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</si>
  <si>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</si>
  <si>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</si>
  <si>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</si>
  <si>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</si>
  <si>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</si>
  <si>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</si>
  <si>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</si>
  <si>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</si>
  <si>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</si>
  <si>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</si>
  <si>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</si>
  <si>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</si>
  <si>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</si>
  <si>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</si>
  <si>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</si>
  <si>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</si>
  <si>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</si>
  <si>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</si>
  <si>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</si>
  <si>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</si>
  <si>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</si>
  <si>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</si>
  <si>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</si>
  <si>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</si>
  <si>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</si>
  <si>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</si>
  <si>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</si>
  <si>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</si>
  <si>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</si>
  <si>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</si>
  <si>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</si>
  <si>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</si>
  <si>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</si>
  <si>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</si>
  <si>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</si>
  <si>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</si>
  <si>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</si>
  <si>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</si>
  <si>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</si>
  <si>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</si>
  <si>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</si>
  <si>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</si>
  <si>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</si>
  <si>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</si>
  <si>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</si>
  <si>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</si>
  <si>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</si>
  <si>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</si>
  <si>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</si>
  <si>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</si>
  <si>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</si>
  <si>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</si>
  <si>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</si>
  <si>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</si>
  <si>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</si>
  <si>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</si>
  <si>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</si>
  <si>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</si>
  <si>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</si>
  <si>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</si>
  <si>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</si>
  <si>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</si>
  <si>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</si>
  <si>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</si>
  <si>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</si>
  <si>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</si>
  <si>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</si>
  <si>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</si>
  <si>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</si>
  <si>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</si>
  <si>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</si>
  <si>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</si>
  <si>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</si>
  <si>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</si>
  <si>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</si>
  <si>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</si>
  <si>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</si>
  <si>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</si>
  <si>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</si>
  <si>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</si>
  <si>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</si>
  <si>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</si>
  <si>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</si>
  <si>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</si>
  <si>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</si>
  <si>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</si>
  <si>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</si>
  <si>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</si>
  <si>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</si>
  <si>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</si>
  <si>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</si>
  <si>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</si>
  <si>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</si>
  <si>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</si>
  <si>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</si>
  <si>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</si>
  <si>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</si>
  <si>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</si>
  <si>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</si>
  <si>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</si>
  <si>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</si>
  <si>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</si>
  <si>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</si>
  <si>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</si>
  <si>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</si>
  <si>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</si>
  <si>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</si>
  <si>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</si>
  <si>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</si>
  <si>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</si>
  <si>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</si>
  <si>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</si>
  <si>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</si>
  <si>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</si>
  <si>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</si>
  <si>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</si>
  <si>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</si>
  <si>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</si>
  <si>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</si>
  <si>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</si>
  <si>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</si>
  <si>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</si>
  <si>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</si>
  <si>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</si>
  <si>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</si>
  <si>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</si>
  <si>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</si>
  <si>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</si>
  <si>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</si>
  <si>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</si>
  <si>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</si>
  <si>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</si>
  <si>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</si>
  <si>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</si>
  <si>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</si>
  <si>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</si>
  <si>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</si>
  <si>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</si>
  <si>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</si>
  <si>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</si>
  <si>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</si>
  <si>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</si>
  <si>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</si>
  <si>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</si>
  <si>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</si>
  <si>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</si>
  <si>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</si>
  <si>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</si>
  <si>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</si>
  <si>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</si>
  <si>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</si>
  <si>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</si>
  <si>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</si>
  <si>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</si>
  <si>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</si>
  <si>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</si>
  <si>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</si>
  <si>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</si>
  <si>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</si>
  <si>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</si>
  <si>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</si>
  <si>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</si>
  <si>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</si>
  <si>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</si>
  <si>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</si>
  <si>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</si>
  <si>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</si>
  <si>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</si>
  <si>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</si>
  <si>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</si>
  <si>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</si>
  <si>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</si>
  <si>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</si>
  <si>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</si>
  <si>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</si>
  <si>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</si>
  <si>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</si>
  <si>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</si>
  <si>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</si>
  <si>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</si>
  <si>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</si>
  <si>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</si>
  <si>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</si>
  <si>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</si>
  <si>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</si>
  <si>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</si>
  <si>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</si>
  <si>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</si>
  <si>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</si>
  <si>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</si>
  <si>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</si>
  <si>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</si>
  <si>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</si>
  <si>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</si>
  <si>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</si>
  <si>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</si>
  <si>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</si>
  <si>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</si>
  <si>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</si>
  <si>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</si>
  <si>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</si>
  <si>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</si>
  <si>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</si>
  <si>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</si>
  <si>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</si>
  <si>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</si>
  <si>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</si>
  <si>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</si>
  <si>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</si>
  <si>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</si>
  <si>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</si>
  <si>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</si>
  <si>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</si>
  <si>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</si>
  <si>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</si>
  <si>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</si>
  <si>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</si>
  <si>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</si>
  <si>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</si>
  <si>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</si>
  <si>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</si>
  <si>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</si>
  <si>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</si>
  <si>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</si>
  <si>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</si>
  <si>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</si>
  <si>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</si>
  <si>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</si>
  <si>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</si>
  <si>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</si>
  <si>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</si>
  <si>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</si>
  <si>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</si>
  <si>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</si>
  <si>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</si>
  <si>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</si>
  <si>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</si>
  <si>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</si>
  <si>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</si>
  <si>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</si>
  <si>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</si>
  <si>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</si>
  <si>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</si>
  <si>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</si>
  <si>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</si>
  <si>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</si>
  <si>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</si>
  <si>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</si>
  <si>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</si>
  <si>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</si>
  <si>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</si>
  <si>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</si>
  <si>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</si>
  <si>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</si>
  <si>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</si>
  <si>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</si>
  <si>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</si>
  <si>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</si>
  <si>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</si>
  <si>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</si>
  <si>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</si>
  <si>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</si>
  <si>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</si>
  <si>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</si>
  <si>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</si>
  <si>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</si>
  <si>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</si>
  <si>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</si>
  <si>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</si>
  <si>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</si>
  <si>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</si>
  <si>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</si>
  <si>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</si>
  <si>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</si>
  <si>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</si>
  <si>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</si>
  <si>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</si>
  <si>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</si>
  <si>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</si>
  <si>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</si>
  <si>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</si>
  <si>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</si>
  <si>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</si>
  <si>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</si>
  <si>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</si>
  <si>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</si>
  <si>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</si>
  <si>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</si>
  <si>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</si>
  <si>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</si>
  <si>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</si>
  <si>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</si>
  <si>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</si>
  <si>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</si>
  <si>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</si>
  <si>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</si>
  <si>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</si>
  <si>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</si>
  <si>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</si>
  <si>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</si>
  <si>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</si>
  <si>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</si>
  <si>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</si>
  <si>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</si>
  <si>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</si>
  <si>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</si>
  <si>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</si>
  <si>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</si>
  <si>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</si>
  <si>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</si>
  <si>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</si>
  <si>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</si>
  <si>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</si>
  <si>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</si>
  <si>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</si>
  <si>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</si>
  <si>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</si>
  <si>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</si>
  <si>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</si>
  <si>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</si>
  <si>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</si>
  <si>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</si>
  <si>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</si>
  <si>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</si>
  <si>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</si>
  <si>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</si>
  <si>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</si>
  <si>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</si>
  <si>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</si>
  <si>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</si>
  <si>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</si>
  <si>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</si>
  <si>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</si>
  <si>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</si>
  <si>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</si>
  <si>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</si>
  <si>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</si>
  <si>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</si>
  <si>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</si>
  <si>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</si>
  <si>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</si>
  <si>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</si>
  <si>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</si>
  <si>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</si>
  <si>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</si>
  <si>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</si>
  <si>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</si>
  <si>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</si>
  <si>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</si>
  <si>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</si>
  <si>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</si>
  <si>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</si>
  <si>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</si>
  <si>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</si>
  <si>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</si>
  <si>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</si>
  <si>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</si>
  <si>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</si>
  <si>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</si>
  <si>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</si>
  <si>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</si>
  <si>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</si>
  <si>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</si>
  <si>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</si>
  <si>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</si>
  <si>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</si>
  <si>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</si>
  <si>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</si>
  <si>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</si>
  <si>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</si>
  <si>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</si>
  <si>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</si>
  <si>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</si>
  <si>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</si>
  <si>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</si>
  <si>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</si>
  <si>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</si>
  <si>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</si>
  <si>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</si>
  <si>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</si>
  <si>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</si>
  <si>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</si>
  <si>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</si>
  <si>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</si>
  <si>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</si>
  <si>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</si>
  <si>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</si>
  <si>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</si>
  <si>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</si>
  <si>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</si>
  <si>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</si>
  <si>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</si>
  <si>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</si>
  <si>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</si>
  <si>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</si>
  <si>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</si>
  <si>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</si>
  <si>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</si>
  <si>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</si>
  <si>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</si>
  <si>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</si>
  <si>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</si>
  <si>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</si>
  <si>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</si>
  <si>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</si>
  <si>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</si>
  <si>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</si>
  <si>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</si>
  <si>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</si>
  <si>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</si>
  <si>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</si>
  <si>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</si>
  <si>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</si>
  <si>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</si>
  <si>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</si>
  <si>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</si>
  <si>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</si>
  <si>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</si>
  <si>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</si>
  <si>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</si>
  <si>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</si>
  <si>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</si>
  <si>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</si>
  <si>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</si>
  <si>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</si>
  <si>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</si>
  <si>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</si>
  <si>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</si>
  <si>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</si>
  <si>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</si>
  <si>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</si>
  <si>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</si>
  <si>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</si>
  <si>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</si>
  <si>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</si>
  <si>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</si>
  <si>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</si>
  <si>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</si>
  <si>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</si>
  <si>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</si>
  <si>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</si>
  <si>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</si>
  <si>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</si>
  <si>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</si>
  <si>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</si>
  <si>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</si>
  <si>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</si>
  <si>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</si>
  <si>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</si>
  <si>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</si>
  <si>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</si>
  <si>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</si>
  <si>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</si>
  <si>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</si>
  <si>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</si>
  <si>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</si>
  <si>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</si>
  <si>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</si>
  <si>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</si>
  <si>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</si>
  <si>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</si>
  <si>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</si>
  <si>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</si>
  <si>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</si>
  <si>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</si>
  <si>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</si>
  <si>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</si>
  <si>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</si>
  <si>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</si>
  <si>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</si>
  <si>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</si>
  <si>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</si>
  <si>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</si>
  <si>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</si>
  <si>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</si>
  <si>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</si>
  <si>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</si>
  <si>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</si>
  <si>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</si>
  <si>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</si>
  <si>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</si>
  <si>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</si>
  <si>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</si>
  <si>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</si>
  <si>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</si>
  <si>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</si>
  <si>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</si>
  <si>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</si>
  <si>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</si>
  <si>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</si>
  <si>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</si>
  <si>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</si>
  <si>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</si>
  <si>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</si>
  <si>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</si>
  <si>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</si>
  <si>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</si>
  <si>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</si>
  <si>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</si>
  <si>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</si>
  <si>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</si>
  <si>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</si>
  <si>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</si>
  <si>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</si>
  <si>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</si>
  <si>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</si>
  <si>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</si>
  <si>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</si>
  <si>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</si>
  <si>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</si>
  <si>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</si>
  <si>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</si>
  <si>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</si>
  <si>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</si>
  <si>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</si>
  <si>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</si>
  <si>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</si>
  <si>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</si>
  <si>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</si>
  <si>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</si>
  <si>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</si>
  <si>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</si>
  <si>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</si>
  <si>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</si>
  <si>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</si>
  <si>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</si>
  <si>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</si>
  <si>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</si>
  <si>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</si>
  <si>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</si>
  <si>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</si>
  <si>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</si>
  <si>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</si>
  <si>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</si>
  <si>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</si>
  <si>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</si>
  <si>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</si>
  <si>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</si>
  <si>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</si>
  <si>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</si>
  <si>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</si>
  <si>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</si>
  <si>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</si>
  <si>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</si>
  <si>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</si>
  <si>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</si>
  <si>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</si>
  <si>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</si>
  <si>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</si>
  <si>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</si>
  <si>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</si>
  <si>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</si>
  <si>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</si>
  <si>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</si>
  <si>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</si>
  <si>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</si>
  <si>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</si>
  <si>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</si>
  <si>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</si>
  <si>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</si>
  <si>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</si>
  <si>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</si>
  <si>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</si>
  <si>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</si>
  <si>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</si>
  <si>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</si>
  <si>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</si>
  <si>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</si>
  <si>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</si>
  <si>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</si>
  <si>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</si>
  <si>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</si>
  <si>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</si>
  <si>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</si>
  <si>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</si>
  <si>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</si>
  <si>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</si>
  <si>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</si>
  <si>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</si>
  <si>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</si>
  <si>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</si>
  <si>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</si>
  <si>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</si>
  <si>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</si>
  <si>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</si>
  <si>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</si>
  <si>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</si>
  <si>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</si>
  <si>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</si>
  <si>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</si>
  <si>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</si>
  <si>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</si>
  <si>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</si>
  <si>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</si>
  <si>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</si>
  <si>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</si>
  <si>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</si>
  <si>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</si>
  <si>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</si>
  <si>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</si>
  <si>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</si>
  <si>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</si>
  <si>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</si>
  <si>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</si>
  <si>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</si>
  <si>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</si>
  <si>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</si>
  <si>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</si>
  <si>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</si>
  <si>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</si>
  <si>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</si>
  <si>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</si>
  <si>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</si>
  <si>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</si>
  <si>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</si>
  <si>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</si>
  <si>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</si>
  <si>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</si>
  <si>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</si>
  <si>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</si>
  <si>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</si>
  <si>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</si>
  <si>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</si>
  <si>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</si>
  <si>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</si>
  <si>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</si>
  <si>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</si>
  <si>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</si>
  <si>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</si>
  <si>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</si>
  <si>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</si>
  <si>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</si>
  <si>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</si>
  <si>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</si>
  <si>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</si>
  <si>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</si>
  <si>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</si>
  <si>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</si>
  <si>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</si>
  <si>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</si>
  <si>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</si>
  <si>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</si>
  <si>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</si>
  <si>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</si>
  <si>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</si>
  <si>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</si>
  <si>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</si>
  <si>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</si>
  <si>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</si>
  <si>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</si>
  <si>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</si>
  <si>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</si>
  <si>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</si>
  <si>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</si>
  <si>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</si>
  <si>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</si>
  <si>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</si>
  <si>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</si>
  <si>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</si>
  <si>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</si>
  <si>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</si>
  <si>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</si>
  <si>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</si>
  <si>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</si>
  <si>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</si>
  <si>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</si>
  <si>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</si>
  <si>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</si>
  <si>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</si>
  <si>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</si>
  <si>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</si>
  <si>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</si>
  <si>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</si>
  <si>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</si>
  <si>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</si>
  <si>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</si>
  <si>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</si>
  <si>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</si>
  <si>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</si>
  <si>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</si>
  <si>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</si>
  <si>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</si>
  <si>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</si>
  <si>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</si>
  <si>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</si>
  <si>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</si>
  <si>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</si>
  <si>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</si>
  <si>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</si>
  <si>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</si>
  <si>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</si>
  <si>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</si>
  <si>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</si>
  <si>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</si>
  <si>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</si>
  <si>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</si>
  <si>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</si>
  <si>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</si>
  <si>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</si>
  <si>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</si>
  <si>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</si>
  <si>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</si>
  <si>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</si>
  <si>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</si>
  <si>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</si>
  <si>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</si>
  <si>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</si>
  <si>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</si>
  <si>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</si>
  <si>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</si>
  <si>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</si>
  <si>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</si>
  <si>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</si>
  <si>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</si>
  <si>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</si>
  <si>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</si>
  <si>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</si>
  <si>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</si>
  <si>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</si>
  <si>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</si>
  <si>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</si>
  <si>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</si>
  <si>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</si>
  <si>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</si>
  <si>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</si>
  <si>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</si>
  <si>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</si>
  <si>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</si>
  <si>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</si>
  <si>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</si>
  <si>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</si>
  <si>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</si>
  <si>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</si>
  <si>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</si>
  <si>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</si>
  <si>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</si>
  <si>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</si>
  <si>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</si>
  <si>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</si>
  <si>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</si>
  <si>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</si>
  <si>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</si>
  <si>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</si>
  <si>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</si>
  <si>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</si>
  <si>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</si>
  <si>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</si>
  <si>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</si>
  <si>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</si>
  <si>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</si>
  <si>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</si>
  <si>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</si>
  <si>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</si>
  <si>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</si>
  <si>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</si>
  <si>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</si>
  <si>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</si>
  <si>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</si>
  <si>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</si>
  <si>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</si>
  <si>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</si>
  <si>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</si>
  <si>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</si>
  <si>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</si>
  <si>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</si>
  <si>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</si>
  <si>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</si>
  <si>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</si>
  <si>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</si>
  <si>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</si>
  <si>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</si>
  <si>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</si>
  <si>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</si>
  <si>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</si>
  <si>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</si>
  <si>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</si>
  <si>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</si>
  <si>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</si>
  <si>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</si>
  <si>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</si>
  <si>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</si>
  <si>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</si>
  <si>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</si>
  <si>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</si>
  <si>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</si>
  <si>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</si>
  <si>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</si>
  <si>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</si>
  <si>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</si>
  <si>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</si>
  <si>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</si>
  <si>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</si>
  <si>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</si>
  <si>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</si>
  <si>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</si>
  <si>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</si>
  <si>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</si>
  <si>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</si>
  <si>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</si>
  <si>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</si>
  <si>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</si>
  <si>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</si>
  <si>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</si>
  <si>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</si>
  <si>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</si>
  <si>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</si>
  <si>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</si>
  <si>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</si>
  <si>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</si>
  <si>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</si>
  <si>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</si>
  <si>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</si>
  <si>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</si>
  <si>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</si>
  <si>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</si>
  <si>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</si>
  <si>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</si>
  <si>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</si>
  <si>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</si>
  <si>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</si>
  <si>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</si>
  <si>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</si>
  <si>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</si>
  <si>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</si>
  <si>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</si>
  <si>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</si>
  <si>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</si>
  <si>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</si>
  <si>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</si>
  <si>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</si>
  <si>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</si>
  <si>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</si>
  <si>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</si>
  <si>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</si>
  <si>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</si>
  <si>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</si>
  <si>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</si>
  <si>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</si>
  <si>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</si>
  <si>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</si>
  <si>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</si>
  <si>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</si>
  <si>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</si>
  <si>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</si>
  <si>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</si>
  <si>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</si>
  <si>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</si>
  <si>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</si>
  <si>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</si>
  <si>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</si>
  <si>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</si>
  <si>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</si>
  <si>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</si>
  <si>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</si>
  <si>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</si>
  <si>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</si>
  <si>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</si>
  <si>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</si>
  <si>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</si>
  <si>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</si>
  <si>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</si>
  <si>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</si>
  <si>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</si>
  <si>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</si>
  <si>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</si>
  <si>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</si>
  <si>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</si>
  <si>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</si>
  <si>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</si>
  <si>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</si>
  <si>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</si>
  <si>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</si>
  <si>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</si>
  <si>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</si>
  <si>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</si>
  <si>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</si>
  <si>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</si>
  <si>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</si>
  <si>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</si>
  <si>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</si>
  <si>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</si>
  <si>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</si>
  <si>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</si>
  <si>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</si>
  <si>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</si>
  <si>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</si>
  <si>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</si>
  <si>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</si>
  <si>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</si>
  <si>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</si>
  <si>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Mason School District</t>
  </si>
  <si>
    <t>07/09</t>
  </si>
  <si>
    <t>08/29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</si>
</sst>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28" activePane="bottomRight" state="frozen"/>
      <selection pane="topRight" activeCell="F1" sqref="F1"/>
      <selection pane="bottomLeft" activeCell="A4" sqref="A4"/>
      <selection pane="bottomRight" activeCell="F49" sqref="F49: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345</v>
      </c>
      <c r="C2" s="21">
        <v>345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188408</f>
        <v>188408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65621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/>
      <c r="H12" s="18"/>
      <c r="I12" s="18">
        <v>4485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2031</v>
      </c>
      <c r="H13" s="18">
        <v>1919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188408</v>
      </c>
      <c r="G19" s="41">
        <f>SUM(G9:G18)</f>
        <v>2031</v>
      </c>
      <c r="H19" s="41">
        <f>SUM(H9:H18)</f>
        <v>1919</v>
      </c>
      <c r="I19" s="41">
        <f>SUM(I9:I18)</f>
        <v>4485</v>
      </c>
      <c r="J19" s="41">
        <f>SUM(J9:J18)</f>
        <v>65621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2956</v>
      </c>
      <c r="G22" s="18"/>
      <c r="H22" s="18">
        <v>1529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924</v>
      </c>
      <c r="G23" s="18">
        <v>2031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8850</v>
      </c>
      <c r="G24" s="18"/>
      <c r="H24" s="18"/>
      <c r="I24" s="18">
        <v>4485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296+899</f>
        <v>1195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13925</v>
      </c>
      <c r="G32" s="41">
        <f>SUM(G22:G31)</f>
        <v>2031</v>
      </c>
      <c r="H32" s="41">
        <f>SUM(H22:H31)</f>
        <v>1529</v>
      </c>
      <c r="I32" s="41">
        <f>SUM(I22:I31)</f>
        <v>4485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58807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0</v>
      </c>
      <c r="H48" s="18">
        <v>390</v>
      </c>
      <c r="I48" s="18"/>
      <c r="J48" s="13">
        <f>SUM(I459)</f>
        <v>65621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8621</v>
      </c>
      <c r="G49" s="18">
        <v>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97055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174483</v>
      </c>
      <c r="G51" s="41">
        <f>SUM(G35:G50)</f>
        <v>0</v>
      </c>
      <c r="H51" s="41">
        <f>SUM(H35:H50)</f>
        <v>390</v>
      </c>
      <c r="I51" s="41">
        <f>SUM(I35:I50)</f>
        <v>0</v>
      </c>
      <c r="J51" s="41">
        <f>SUM(J35:J50)</f>
        <v>65621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188408</v>
      </c>
      <c r="G52" s="41">
        <f>G51+G32</f>
        <v>2031</v>
      </c>
      <c r="H52" s="41">
        <f>H51+H32</f>
        <v>1919</v>
      </c>
      <c r="I52" s="41">
        <f>I51+I32</f>
        <v>4485</v>
      </c>
      <c r="J52" s="41">
        <f>J51+J32</f>
        <v>65621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2018623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2018623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10800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10800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21</v>
      </c>
      <c r="G96" s="18"/>
      <c r="H96" s="18"/>
      <c r="I96" s="18"/>
      <c r="J96" s="18">
        <v>144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23204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393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514</v>
      </c>
      <c r="G111" s="41">
        <f>SUM(G96:G110)</f>
        <v>23204</v>
      </c>
      <c r="H111" s="41">
        <f>SUM(H96:H110)</f>
        <v>0</v>
      </c>
      <c r="I111" s="41">
        <f>SUM(I96:I110)</f>
        <v>0</v>
      </c>
      <c r="J111" s="41">
        <f>SUM(J96:J110)</f>
        <v>144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2029937</v>
      </c>
      <c r="G112" s="41">
        <f>G60+G111</f>
        <v>23204</v>
      </c>
      <c r="H112" s="41">
        <f>H60+H79+H94+H111</f>
        <v>0</v>
      </c>
      <c r="I112" s="41">
        <f>I60+I111</f>
        <v>0</v>
      </c>
      <c r="J112" s="41">
        <f>J60+J111</f>
        <v>144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321432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333647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655079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86424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14071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2466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100495</v>
      </c>
      <c r="G136" s="41">
        <f>SUM(G123:G135)</f>
        <v>2466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755574</v>
      </c>
      <c r="G140" s="41">
        <f>G121+SUM(G136:G137)</f>
        <v>2466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4581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9266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8892+2933</f>
        <v>11825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15063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11825</v>
      </c>
      <c r="H162" s="41">
        <f>SUM(H150:H161)</f>
        <v>28910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11825</v>
      </c>
      <c r="H169" s="41">
        <f>H147+H162+SUM(H163:H168)</f>
        <v>28910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32781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32781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32781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2785511</v>
      </c>
      <c r="G193" s="47">
        <f>G112+G140+G169+G192</f>
        <v>70276</v>
      </c>
      <c r="H193" s="47">
        <f>H112+H140+H169+H192</f>
        <v>28910</v>
      </c>
      <c r="I193" s="47">
        <f>I112+I140+I169+I192</f>
        <v>0</v>
      </c>
      <c r="J193" s="47">
        <f>J112+J140+J192</f>
        <v>144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340611</v>
      </c>
      <c r="G197" s="18">
        <v>173110</v>
      </c>
      <c r="H197" s="18">
        <v>140</v>
      </c>
      <c r="I197" s="18">
        <v>20727</v>
      </c>
      <c r="J197" s="18">
        <v>10090</v>
      </c>
      <c r="K197" s="18">
        <v>1140</v>
      </c>
      <c r="L197" s="19">
        <f>SUM(F197:K197)</f>
        <v>545818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75839</v>
      </c>
      <c r="G198" s="18">
        <v>25925</v>
      </c>
      <c r="H198" s="18">
        <v>0</v>
      </c>
      <c r="I198" s="18">
        <v>862</v>
      </c>
      <c r="J198" s="18"/>
      <c r="K198" s="18"/>
      <c r="L198" s="19">
        <f>SUM(F198:K198)</f>
        <v>102626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53596</v>
      </c>
      <c r="G202" s="18">
        <v>12795</v>
      </c>
      <c r="H202" s="18">
        <v>45383</v>
      </c>
      <c r="I202" s="18">
        <v>1504</v>
      </c>
      <c r="J202" s="18"/>
      <c r="K202" s="18">
        <v>105</v>
      </c>
      <c r="L202" s="19">
        <f t="shared" ref="L202:L208" si="0">SUM(F202:K202)</f>
        <v>113383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7550</v>
      </c>
      <c r="G203" s="18">
        <v>1855</v>
      </c>
      <c r="H203" s="18"/>
      <c r="I203" s="18"/>
      <c r="J203" s="18"/>
      <c r="K203" s="18"/>
      <c r="L203" s="19">
        <f t="shared" si="0"/>
        <v>9405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50000</v>
      </c>
      <c r="G204" s="18">
        <v>5301</v>
      </c>
      <c r="H204" s="18">
        <v>20729</v>
      </c>
      <c r="I204" s="18">
        <v>50</v>
      </c>
      <c r="J204" s="18"/>
      <c r="K204" s="18">
        <v>1072</v>
      </c>
      <c r="L204" s="19">
        <f t="shared" si="0"/>
        <v>77152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71444</v>
      </c>
      <c r="G205" s="18">
        <v>44537</v>
      </c>
      <c r="H205" s="18">
        <v>4412</v>
      </c>
      <c r="I205" s="18">
        <v>3418</v>
      </c>
      <c r="J205" s="18">
        <v>100</v>
      </c>
      <c r="K205" s="18"/>
      <c r="L205" s="19">
        <f t="shared" si="0"/>
        <v>123911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37604</v>
      </c>
      <c r="I206" s="18"/>
      <c r="J206" s="18"/>
      <c r="K206" s="18"/>
      <c r="L206" s="19">
        <f t="shared" si="0"/>
        <v>37604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41095</v>
      </c>
      <c r="G207" s="18">
        <v>28815</v>
      </c>
      <c r="H207" s="18">
        <v>19329</v>
      </c>
      <c r="I207" s="18">
        <v>34805</v>
      </c>
      <c r="J207" s="18">
        <v>11015</v>
      </c>
      <c r="K207" s="18"/>
      <c r="L207" s="19">
        <f t="shared" si="0"/>
        <v>135059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52617</v>
      </c>
      <c r="I208" s="18"/>
      <c r="J208" s="18"/>
      <c r="K208" s="18"/>
      <c r="L208" s="19">
        <f t="shared" si="0"/>
        <v>52617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7598</v>
      </c>
      <c r="G209" s="18">
        <v>525</v>
      </c>
      <c r="H209" s="18"/>
      <c r="I209" s="18"/>
      <c r="J209" s="18"/>
      <c r="K209" s="18"/>
      <c r="L209" s="19">
        <f>SUM(F209:K209)</f>
        <v>8123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647733</v>
      </c>
      <c r="G211" s="41">
        <f t="shared" si="1"/>
        <v>292863</v>
      </c>
      <c r="H211" s="41">
        <f t="shared" si="1"/>
        <v>180214</v>
      </c>
      <c r="I211" s="41">
        <f t="shared" si="1"/>
        <v>61366</v>
      </c>
      <c r="J211" s="41">
        <f t="shared" si="1"/>
        <v>21205</v>
      </c>
      <c r="K211" s="41">
        <f t="shared" si="1"/>
        <v>2317</v>
      </c>
      <c r="L211" s="41">
        <f t="shared" si="1"/>
        <v>1205698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488881</v>
      </c>
      <c r="I215" s="18"/>
      <c r="J215" s="18"/>
      <c r="K215" s="18"/>
      <c r="L215" s="19">
        <f>SUM(F215:K215)</f>
        <v>488881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43954</v>
      </c>
      <c r="I216" s="18"/>
      <c r="J216" s="18"/>
      <c r="K216" s="18"/>
      <c r="L216" s="19">
        <f>SUM(F216:K216)</f>
        <v>43954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34676</v>
      </c>
      <c r="I226" s="18"/>
      <c r="J226" s="18"/>
      <c r="K226" s="18"/>
      <c r="L226" s="19">
        <f t="shared" si="2"/>
        <v>34676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567511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567511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478253</v>
      </c>
      <c r="I233" s="18"/>
      <c r="J233" s="18"/>
      <c r="K233" s="18"/>
      <c r="L233" s="19">
        <f>SUM(F233:K233)</f>
        <v>478253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91719</v>
      </c>
      <c r="I234" s="18"/>
      <c r="J234" s="18"/>
      <c r="K234" s="18"/>
      <c r="L234" s="19">
        <f>SUM(F234:K234)</f>
        <v>91719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33208</v>
      </c>
      <c r="I244" s="18"/>
      <c r="J244" s="18"/>
      <c r="K244" s="18"/>
      <c r="L244" s="19">
        <f t="shared" si="4"/>
        <v>33208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603180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603180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647733</v>
      </c>
      <c r="G257" s="41">
        <f t="shared" si="8"/>
        <v>292863</v>
      </c>
      <c r="H257" s="41">
        <f t="shared" si="8"/>
        <v>1350905</v>
      </c>
      <c r="I257" s="41">
        <f t="shared" si="8"/>
        <v>61366</v>
      </c>
      <c r="J257" s="41">
        <f t="shared" si="8"/>
        <v>21205</v>
      </c>
      <c r="K257" s="41">
        <f t="shared" si="8"/>
        <v>2317</v>
      </c>
      <c r="L257" s="41">
        <f t="shared" si="8"/>
        <v>2376389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255000</v>
      </c>
      <c r="L260" s="19">
        <f>SUM(F260:K260)</f>
        <v>255000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157617</v>
      </c>
      <c r="L261" s="19">
        <f>SUM(F261:K261)</f>
        <v>157617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32781</v>
      </c>
      <c r="L263" s="19">
        <f>SUM(F263:K263)</f>
        <v>32781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445398</v>
      </c>
      <c r="L270" s="41">
        <f t="shared" si="9"/>
        <v>445398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647733</v>
      </c>
      <c r="G271" s="42">
        <f t="shared" si="11"/>
        <v>292863</v>
      </c>
      <c r="H271" s="42">
        <f t="shared" si="11"/>
        <v>1350905</v>
      </c>
      <c r="I271" s="42">
        <f t="shared" si="11"/>
        <v>61366</v>
      </c>
      <c r="J271" s="42">
        <f t="shared" si="11"/>
        <v>21205</v>
      </c>
      <c r="K271" s="42">
        <f t="shared" si="11"/>
        <v>447715</v>
      </c>
      <c r="L271" s="42">
        <f t="shared" si="11"/>
        <v>2821787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6317</v>
      </c>
      <c r="G276" s="18">
        <v>483</v>
      </c>
      <c r="H276" s="18"/>
      <c r="I276" s="18">
        <v>4581</v>
      </c>
      <c r="J276" s="18"/>
      <c r="K276" s="18">
        <v>235</v>
      </c>
      <c r="L276" s="19">
        <f>SUM(F276:K276)</f>
        <v>11616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14941</v>
      </c>
      <c r="I277" s="18">
        <v>122</v>
      </c>
      <c r="J277" s="18"/>
      <c r="K277" s="18"/>
      <c r="L277" s="19">
        <f>SUM(F277:K277)</f>
        <v>15063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1691</v>
      </c>
      <c r="H282" s="18"/>
      <c r="I282" s="18"/>
      <c r="J282" s="18"/>
      <c r="K282" s="18"/>
      <c r="L282" s="19">
        <f t="shared" si="12"/>
        <v>1691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500</v>
      </c>
      <c r="G284" s="18"/>
      <c r="H284" s="18"/>
      <c r="I284" s="18"/>
      <c r="J284" s="18"/>
      <c r="K284" s="18"/>
      <c r="L284" s="19">
        <f t="shared" si="12"/>
        <v>500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6817</v>
      </c>
      <c r="G290" s="42">
        <f t="shared" si="13"/>
        <v>2174</v>
      </c>
      <c r="H290" s="42">
        <f t="shared" si="13"/>
        <v>14941</v>
      </c>
      <c r="I290" s="42">
        <f t="shared" si="13"/>
        <v>4703</v>
      </c>
      <c r="J290" s="42">
        <f t="shared" si="13"/>
        <v>0</v>
      </c>
      <c r="K290" s="42">
        <f t="shared" si="13"/>
        <v>235</v>
      </c>
      <c r="L290" s="41">
        <f t="shared" si="13"/>
        <v>28870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6817</v>
      </c>
      <c r="G338" s="41">
        <f t="shared" si="20"/>
        <v>2174</v>
      </c>
      <c r="H338" s="41">
        <f t="shared" si="20"/>
        <v>14941</v>
      </c>
      <c r="I338" s="41">
        <f t="shared" si="20"/>
        <v>4703</v>
      </c>
      <c r="J338" s="41">
        <f t="shared" si="20"/>
        <v>0</v>
      </c>
      <c r="K338" s="41">
        <f t="shared" si="20"/>
        <v>235</v>
      </c>
      <c r="L338" s="41">
        <f t="shared" si="20"/>
        <v>28870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6817</v>
      </c>
      <c r="G352" s="41">
        <f>G338</f>
        <v>2174</v>
      </c>
      <c r="H352" s="41">
        <f>H338</f>
        <v>14941</v>
      </c>
      <c r="I352" s="41">
        <f>I338</f>
        <v>4703</v>
      </c>
      <c r="J352" s="41">
        <f>J338</f>
        <v>0</v>
      </c>
      <c r="K352" s="47">
        <f>K338+K351</f>
        <v>235</v>
      </c>
      <c r="L352" s="41">
        <f>L338+L351</f>
        <v>28870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35828</v>
      </c>
      <c r="G358" s="18">
        <v>6924</v>
      </c>
      <c r="H358" s="18">
        <v>610</v>
      </c>
      <c r="I358" s="18">
        <v>26914</v>
      </c>
      <c r="J358" s="18"/>
      <c r="K358" s="18"/>
      <c r="L358" s="13">
        <f>SUM(F358:K358)</f>
        <v>70276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35828</v>
      </c>
      <c r="G362" s="47">
        <f t="shared" si="22"/>
        <v>6924</v>
      </c>
      <c r="H362" s="47">
        <f t="shared" si="22"/>
        <v>610</v>
      </c>
      <c r="I362" s="47">
        <f t="shared" si="22"/>
        <v>26914</v>
      </c>
      <c r="J362" s="47">
        <f t="shared" si="22"/>
        <v>0</v>
      </c>
      <c r="K362" s="47">
        <f t="shared" si="22"/>
        <v>0</v>
      </c>
      <c r="L362" s="47">
        <f t="shared" si="22"/>
        <v>70276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22255+2933</f>
        <v>25188</v>
      </c>
      <c r="G367" s="18"/>
      <c r="H367" s="18"/>
      <c r="I367" s="56">
        <f>SUM(F367:H367)</f>
        <v>25188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1726</v>
      </c>
      <c r="G368" s="63"/>
      <c r="H368" s="63"/>
      <c r="I368" s="56">
        <f>SUM(F368:H368)</f>
        <v>1726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26914</v>
      </c>
      <c r="G369" s="47">
        <f>SUM(G367:G368)</f>
        <v>0</v>
      </c>
      <c r="H369" s="47">
        <f>SUM(H367:H368)</f>
        <v>0</v>
      </c>
      <c r="I369" s="47">
        <f>SUM(I367:I368)</f>
        <v>26914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13</v>
      </c>
      <c r="I396" s="18"/>
      <c r="J396" s="24" t="s">
        <v>289</v>
      </c>
      <c r="K396" s="24" t="s">
        <v>289</v>
      </c>
      <c r="L396" s="56">
        <f t="shared" si="26"/>
        <v>13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26</v>
      </c>
      <c r="I397" s="18"/>
      <c r="J397" s="24" t="s">
        <v>289</v>
      </c>
      <c r="K397" s="24" t="s">
        <v>289</v>
      </c>
      <c r="L397" s="56">
        <f t="shared" si="26"/>
        <v>26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105</v>
      </c>
      <c r="I398" s="18"/>
      <c r="J398" s="24" t="s">
        <v>289</v>
      </c>
      <c r="K398" s="24" t="s">
        <v>289</v>
      </c>
      <c r="L398" s="56">
        <f t="shared" si="26"/>
        <v>105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144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144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144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144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65621</v>
      </c>
      <c r="H440" s="18"/>
      <c r="I440" s="56">
        <f t="shared" si="33"/>
        <v>65621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65621</v>
      </c>
      <c r="H446" s="13">
        <f>SUM(H439:H445)</f>
        <v>0</v>
      </c>
      <c r="I446" s="13">
        <f>SUM(I439:I445)</f>
        <v>65621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0</v>
      </c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65621</v>
      </c>
      <c r="H459" s="18"/>
      <c r="I459" s="56">
        <f t="shared" si="34"/>
        <v>65621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65621</v>
      </c>
      <c r="H460" s="83">
        <f>SUM(H454:H459)</f>
        <v>0</v>
      </c>
      <c r="I460" s="83">
        <f>SUM(I454:I459)</f>
        <v>65621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65621</v>
      </c>
      <c r="H461" s="42">
        <f>H452+H460</f>
        <v>0</v>
      </c>
      <c r="I461" s="42">
        <f>I452+I460</f>
        <v>65621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210759</v>
      </c>
      <c r="G465" s="18">
        <v>0</v>
      </c>
      <c r="H465" s="18">
        <v>350</v>
      </c>
      <c r="I465" s="18">
        <v>0</v>
      </c>
      <c r="J465" s="18">
        <v>65477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2785511</v>
      </c>
      <c r="G468" s="18">
        <f>G193</f>
        <v>70276</v>
      </c>
      <c r="H468" s="18">
        <f>H193</f>
        <v>28910</v>
      </c>
      <c r="I468" s="18"/>
      <c r="J468" s="18">
        <v>144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2785511</v>
      </c>
      <c r="G470" s="53">
        <f>SUM(G468:G469)</f>
        <v>70276</v>
      </c>
      <c r="H470" s="53">
        <f>SUM(H468:H469)</f>
        <v>28910</v>
      </c>
      <c r="I470" s="53">
        <f>SUM(I468:I469)</f>
        <v>0</v>
      </c>
      <c r="J470" s="53">
        <f>SUM(J468:J469)</f>
        <v>144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2821787</v>
      </c>
      <c r="G472" s="18">
        <f>L362</f>
        <v>70276</v>
      </c>
      <c r="H472" s="18">
        <f>L352</f>
        <v>28870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2821787</v>
      </c>
      <c r="G474" s="53">
        <f>SUM(G472:G473)</f>
        <v>70276</v>
      </c>
      <c r="H474" s="53">
        <f>SUM(H472:H473)</f>
        <v>28870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174483</v>
      </c>
      <c r="G476" s="53">
        <f>(G465+G470)- G474</f>
        <v>0</v>
      </c>
      <c r="H476" s="53">
        <f>(H465+H470)- H474</f>
        <v>390</v>
      </c>
      <c r="I476" s="53">
        <f>(I465+I470)- I474</f>
        <v>0</v>
      </c>
      <c r="J476" s="53">
        <f>(J465+J470)- J474</f>
        <v>65621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4975910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f>3965000-255000</f>
        <v>3710000</v>
      </c>
      <c r="G495" s="18"/>
      <c r="H495" s="18"/>
      <c r="I495" s="18"/>
      <c r="J495" s="18"/>
      <c r="K495" s="53">
        <f>SUM(F495:J495)</f>
        <v>3710000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255000</v>
      </c>
      <c r="G497" s="18"/>
      <c r="H497" s="18"/>
      <c r="I497" s="18"/>
      <c r="J497" s="18"/>
      <c r="K497" s="53">
        <f t="shared" si="35"/>
        <v>255000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3455000</v>
      </c>
      <c r="G498" s="204"/>
      <c r="H498" s="204"/>
      <c r="I498" s="204"/>
      <c r="J498" s="204"/>
      <c r="K498" s="205">
        <f t="shared" si="35"/>
        <v>3455000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1377050-157617</f>
        <v>1219433</v>
      </c>
      <c r="G499" s="18"/>
      <c r="H499" s="18"/>
      <c r="I499" s="18"/>
      <c r="J499" s="18"/>
      <c r="K499" s="53">
        <f t="shared" si="35"/>
        <v>1219433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4674433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4674433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255000</v>
      </c>
      <c r="G501" s="204"/>
      <c r="H501" s="204"/>
      <c r="I501" s="204"/>
      <c r="J501" s="204"/>
      <c r="K501" s="205">
        <f t="shared" si="35"/>
        <v>255000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147492</v>
      </c>
      <c r="G502" s="18"/>
      <c r="H502" s="18"/>
      <c r="I502" s="18"/>
      <c r="J502" s="18"/>
      <c r="K502" s="53">
        <f t="shared" si="35"/>
        <v>147492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402492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402492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40801</v>
      </c>
      <c r="G521" s="18">
        <v>17551</v>
      </c>
      <c r="H521" s="18">
        <v>0</v>
      </c>
      <c r="I521" s="18">
        <v>862</v>
      </c>
      <c r="J521" s="18"/>
      <c r="K521" s="18"/>
      <c r="L521" s="88">
        <f>SUM(F521:K521)</f>
        <v>59214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43954</v>
      </c>
      <c r="I522" s="18"/>
      <c r="J522" s="18"/>
      <c r="K522" s="18"/>
      <c r="L522" s="88">
        <f>SUM(F522:K522)</f>
        <v>43954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91719</v>
      </c>
      <c r="I523" s="18"/>
      <c r="J523" s="18"/>
      <c r="K523" s="18"/>
      <c r="L523" s="88">
        <f>SUM(F523:K523)</f>
        <v>91719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40801</v>
      </c>
      <c r="G524" s="108">
        <f t="shared" ref="G524:L524" si="36">SUM(G521:G523)</f>
        <v>17551</v>
      </c>
      <c r="H524" s="108">
        <f t="shared" si="36"/>
        <v>135673</v>
      </c>
      <c r="I524" s="108">
        <f t="shared" si="36"/>
        <v>862</v>
      </c>
      <c r="J524" s="108">
        <f t="shared" si="36"/>
        <v>0</v>
      </c>
      <c r="K524" s="108">
        <f t="shared" si="36"/>
        <v>0</v>
      </c>
      <c r="L524" s="89">
        <f t="shared" si="36"/>
        <v>194887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45293</v>
      </c>
      <c r="I526" s="18"/>
      <c r="J526" s="18"/>
      <c r="K526" s="18"/>
      <c r="L526" s="88">
        <f>SUM(F526:K526)</f>
        <v>45293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45293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45293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35038</v>
      </c>
      <c r="G531" s="18">
        <v>8374</v>
      </c>
      <c r="H531" s="18"/>
      <c r="I531" s="18"/>
      <c r="J531" s="18"/>
      <c r="K531" s="18"/>
      <c r="L531" s="88">
        <f>SUM(F531:K531)</f>
        <v>43412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35038</v>
      </c>
      <c r="G534" s="89">
        <f t="shared" ref="G534:L534" si="38">SUM(G531:G533)</f>
        <v>8374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43412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1988</v>
      </c>
      <c r="I541" s="18"/>
      <c r="J541" s="18"/>
      <c r="K541" s="18"/>
      <c r="L541" s="88">
        <f>SUM(F541:K541)</f>
        <v>1988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1988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1988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75839</v>
      </c>
      <c r="G545" s="89">
        <f t="shared" ref="G545:L545" si="41">G524+G529+G534+G539+G544</f>
        <v>25925</v>
      </c>
      <c r="H545" s="89">
        <f t="shared" si="41"/>
        <v>182954</v>
      </c>
      <c r="I545" s="89">
        <f t="shared" si="41"/>
        <v>862</v>
      </c>
      <c r="J545" s="89">
        <f t="shared" si="41"/>
        <v>0</v>
      </c>
      <c r="K545" s="89">
        <f t="shared" si="41"/>
        <v>0</v>
      </c>
      <c r="L545" s="89">
        <f t="shared" si="41"/>
        <v>285580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59214</v>
      </c>
      <c r="G549" s="87">
        <f>L526</f>
        <v>45293</v>
      </c>
      <c r="H549" s="87">
        <f>L531</f>
        <v>43412</v>
      </c>
      <c r="I549" s="87">
        <f>L536</f>
        <v>0</v>
      </c>
      <c r="J549" s="87">
        <f>L541</f>
        <v>1988</v>
      </c>
      <c r="K549" s="87">
        <f>SUM(F549:J549)</f>
        <v>149907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43954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43954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91719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91719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194887</v>
      </c>
      <c r="G552" s="89">
        <f t="shared" si="42"/>
        <v>45293</v>
      </c>
      <c r="H552" s="89">
        <f t="shared" si="42"/>
        <v>43412</v>
      </c>
      <c r="I552" s="89">
        <f t="shared" si="42"/>
        <v>0</v>
      </c>
      <c r="J552" s="89">
        <f t="shared" si="42"/>
        <v>1988</v>
      </c>
      <c r="K552" s="89">
        <f t="shared" si="42"/>
        <v>285580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488881</v>
      </c>
      <c r="H575" s="18">
        <v>478253</v>
      </c>
      <c r="I575" s="87">
        <f>SUM(F575:H575)</f>
        <v>967134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43954</v>
      </c>
      <c r="H579" s="18">
        <v>91719</v>
      </c>
      <c r="I579" s="87">
        <f t="shared" si="47"/>
        <v>135673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50629</v>
      </c>
      <c r="I591" s="18">
        <v>34676</v>
      </c>
      <c r="J591" s="18">
        <v>33208</v>
      </c>
      <c r="K591" s="104">
        <f t="shared" ref="K591:K597" si="48">SUM(H591:J591)</f>
        <v>118513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1988</v>
      </c>
      <c r="I592" s="18"/>
      <c r="J592" s="18"/>
      <c r="K592" s="104">
        <f t="shared" si="48"/>
        <v>1988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52617</v>
      </c>
      <c r="I598" s="108">
        <f>SUM(I591:I597)</f>
        <v>34676</v>
      </c>
      <c r="J598" s="108">
        <f>SUM(J591:J597)</f>
        <v>33208</v>
      </c>
      <c r="K598" s="108">
        <f>SUM(K591:K597)</f>
        <v>120501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21205</v>
      </c>
      <c r="I604" s="18"/>
      <c r="J604" s="18"/>
      <c r="K604" s="104">
        <f>SUM(H604:J604)</f>
        <v>21205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21205</v>
      </c>
      <c r="I605" s="108">
        <f>SUM(I602:I604)</f>
        <v>0</v>
      </c>
      <c r="J605" s="108">
        <f>SUM(J602:J604)</f>
        <v>0</v>
      </c>
      <c r="K605" s="108">
        <f>SUM(K602:K604)</f>
        <v>21205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188408</v>
      </c>
      <c r="H617" s="109">
        <f>SUM(F52)</f>
        <v>188408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2031</v>
      </c>
      <c r="H618" s="109">
        <f>SUM(G52)</f>
        <v>2031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1919</v>
      </c>
      <c r="H619" s="109">
        <f>SUM(H52)</f>
        <v>1919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4485</v>
      </c>
      <c r="H620" s="109">
        <f>SUM(I52)</f>
        <v>4485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65621</v>
      </c>
      <c r="H621" s="109">
        <f>SUM(J52)</f>
        <v>65621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174483</v>
      </c>
      <c r="H622" s="109">
        <f>F476</f>
        <v>174483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390</v>
      </c>
      <c r="H624" s="109">
        <f>H476</f>
        <v>390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65621</v>
      </c>
      <c r="H626" s="109">
        <f>J476</f>
        <v>65621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2785511</v>
      </c>
      <c r="H627" s="104">
        <f>SUM(F468)</f>
        <v>2785511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70276</v>
      </c>
      <c r="H628" s="104">
        <f>SUM(G468)</f>
        <v>70276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28910</v>
      </c>
      <c r="H629" s="104">
        <f>SUM(H468)</f>
        <v>28910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144</v>
      </c>
      <c r="H631" s="104">
        <f>SUM(J468)</f>
        <v>144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2821787</v>
      </c>
      <c r="H632" s="104">
        <f>SUM(F472)</f>
        <v>2821787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28870</v>
      </c>
      <c r="H633" s="104">
        <f>SUM(H472)</f>
        <v>28870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26914</v>
      </c>
      <c r="H634" s="104">
        <f>I369</f>
        <v>26914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70276</v>
      </c>
      <c r="H635" s="104">
        <f>SUM(G472)</f>
        <v>70276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144</v>
      </c>
      <c r="H637" s="164">
        <f>SUM(J468)</f>
        <v>144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65621</v>
      </c>
      <c r="H640" s="104">
        <f>SUM(G461)</f>
        <v>65621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65621</v>
      </c>
      <c r="H642" s="104">
        <f>SUM(I461)</f>
        <v>65621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144</v>
      </c>
      <c r="H644" s="104">
        <f>H408</f>
        <v>144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144</v>
      </c>
      <c r="H646" s="104">
        <f>L408</f>
        <v>144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120501</v>
      </c>
      <c r="H647" s="104">
        <f>L208+L226+L244</f>
        <v>120501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21205</v>
      </c>
      <c r="H648" s="104">
        <f>(J257+J338)-(J255+J336)</f>
        <v>21205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52617</v>
      </c>
      <c r="H649" s="104">
        <f>H598</f>
        <v>52617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34676</v>
      </c>
      <c r="H650" s="104">
        <f>I598</f>
        <v>34676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33208</v>
      </c>
      <c r="H651" s="104">
        <f>J598</f>
        <v>33208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32781</v>
      </c>
      <c r="H652" s="104">
        <f>K263+K345</f>
        <v>32781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1304844</v>
      </c>
      <c r="G660" s="19">
        <f>(L229+L309+L359)</f>
        <v>567511</v>
      </c>
      <c r="H660" s="19">
        <f>(L247+L328+L360)</f>
        <v>603180</v>
      </c>
      <c r="I660" s="19">
        <f>SUM(F660:H660)</f>
        <v>2475535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23204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23204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52617</v>
      </c>
      <c r="G662" s="19">
        <f>(L226+L306)-(J226+J306)</f>
        <v>34676</v>
      </c>
      <c r="H662" s="19">
        <f>(L244+L325)-(J244+J325)</f>
        <v>33208</v>
      </c>
      <c r="I662" s="19">
        <f>SUM(F662:H662)</f>
        <v>120501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21205</v>
      </c>
      <c r="G663" s="199">
        <f>SUM(G575:G587)+SUM(I602:I604)+L612</f>
        <v>532835</v>
      </c>
      <c r="H663" s="199">
        <f>SUM(H575:H587)+SUM(J602:J604)+L613</f>
        <v>569972</v>
      </c>
      <c r="I663" s="19">
        <f>SUM(F663:H663)</f>
        <v>1124012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1207818</v>
      </c>
      <c r="G664" s="19">
        <f>G660-SUM(G661:G663)</f>
        <v>0</v>
      </c>
      <c r="H664" s="19">
        <f>H660-SUM(H661:H663)</f>
        <v>0</v>
      </c>
      <c r="I664" s="19">
        <f>I660-SUM(I661:I663)</f>
        <v>1207818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69.430000000000007</v>
      </c>
      <c r="G665" s="248"/>
      <c r="H665" s="248"/>
      <c r="I665" s="19">
        <f>SUM(F665:H665)</f>
        <v>69.430000000000007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17396.2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17396.2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17396.2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17396.2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horizontalDpi="4294967295" verticalDpi="4294967295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29" sqref="C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346928</v>
      </c>
      <c r="C9" s="229">
        <f>'DOE25'!G197+'DOE25'!G215+'DOE25'!G233+'DOE25'!G276+'DOE25'!G295+'DOE25'!G314</f>
        <v>173593</v>
      </c>
    </row>
    <row r="10" spans="1:3" x14ac:dyDescent="0.2">
      <c r="A10" t="s">
        <v>779</v>
      </c>
      <c r="B10" s="240">
        <v>302360</v>
      </c>
      <c r="C10" s="240">
        <v>166328</v>
      </c>
    </row>
    <row r="11" spans="1:3" x14ac:dyDescent="0.2">
      <c r="A11" t="s">
        <v>780</v>
      </c>
      <c r="B11" s="240">
        <v>44568</v>
      </c>
      <c r="C11" s="240">
        <v>7265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346928</v>
      </c>
      <c r="C13" s="231">
        <f>SUM(C10:C12)</f>
        <v>173593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75839</v>
      </c>
      <c r="C18" s="229">
        <f>'DOE25'!G198+'DOE25'!G216+'DOE25'!G234+'DOE25'!G277+'DOE25'!G296+'DOE25'!G315</f>
        <v>25925</v>
      </c>
    </row>
    <row r="19" spans="1:3" x14ac:dyDescent="0.2">
      <c r="A19" t="s">
        <v>779</v>
      </c>
      <c r="B19" s="240">
        <v>40800</v>
      </c>
      <c r="C19" s="240">
        <v>12658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>
        <v>35039</v>
      </c>
      <c r="C21" s="240">
        <v>13267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75839</v>
      </c>
      <c r="C22" s="231">
        <f>SUM(C19:C21)</f>
        <v>25925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6" activePane="bottomLeft" state="frozen"/>
      <selection activeCell="F46" sqref="F46"/>
      <selection pane="bottomLeft" activeCell="E18" sqref="E1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Mason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1751251</v>
      </c>
      <c r="D5" s="20">
        <f>SUM('DOE25'!L197:L200)+SUM('DOE25'!L215:L218)+SUM('DOE25'!L233:L236)-F5-G5</f>
        <v>1740021</v>
      </c>
      <c r="E5" s="243"/>
      <c r="F5" s="255">
        <f>SUM('DOE25'!J197:J200)+SUM('DOE25'!J215:J218)+SUM('DOE25'!J233:J236)</f>
        <v>10090</v>
      </c>
      <c r="G5" s="53">
        <f>SUM('DOE25'!K197:K200)+SUM('DOE25'!K215:K218)+SUM('DOE25'!K233:K236)</f>
        <v>1140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113383</v>
      </c>
      <c r="D6" s="20">
        <f>'DOE25'!L202+'DOE25'!L220+'DOE25'!L238-F6-G6</f>
        <v>113278</v>
      </c>
      <c r="E6" s="243"/>
      <c r="F6" s="255">
        <f>'DOE25'!J202+'DOE25'!J220+'DOE25'!J238</f>
        <v>0</v>
      </c>
      <c r="G6" s="53">
        <f>'DOE25'!K202+'DOE25'!K220+'DOE25'!K238</f>
        <v>105</v>
      </c>
      <c r="H6" s="259"/>
    </row>
    <row r="7" spans="1:9" x14ac:dyDescent="0.2">
      <c r="A7" s="32">
        <v>2200</v>
      </c>
      <c r="B7" t="s">
        <v>834</v>
      </c>
      <c r="C7" s="245">
        <f t="shared" si="0"/>
        <v>9405</v>
      </c>
      <c r="D7" s="20">
        <f>'DOE25'!L203+'DOE25'!L221+'DOE25'!L239-F7-G7</f>
        <v>9405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1364</v>
      </c>
      <c r="D8" s="243"/>
      <c r="E8" s="20">
        <f>'DOE25'!L204+'DOE25'!L222+'DOE25'!L240-F8-G8-D9-D11</f>
        <v>292</v>
      </c>
      <c r="F8" s="255">
        <f>'DOE25'!J204+'DOE25'!J222+'DOE25'!J240</f>
        <v>0</v>
      </c>
      <c r="G8" s="53">
        <f>'DOE25'!K204+'DOE25'!K222+'DOE25'!K240</f>
        <v>1072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15575</v>
      </c>
      <c r="D9" s="244">
        <v>15575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11050</v>
      </c>
      <c r="D10" s="243"/>
      <c r="E10" s="244">
        <v>11050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60213</v>
      </c>
      <c r="D11" s="244">
        <v>60213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123911</v>
      </c>
      <c r="D12" s="20">
        <f>'DOE25'!L205+'DOE25'!L223+'DOE25'!L241-F12-G12</f>
        <v>123811</v>
      </c>
      <c r="E12" s="243"/>
      <c r="F12" s="255">
        <f>'DOE25'!J205+'DOE25'!J223+'DOE25'!J241</f>
        <v>100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37604</v>
      </c>
      <c r="D13" s="243"/>
      <c r="E13" s="20">
        <f>'DOE25'!L206+'DOE25'!L224+'DOE25'!L242-F13-G13</f>
        <v>37604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135059</v>
      </c>
      <c r="D14" s="20">
        <f>'DOE25'!L207+'DOE25'!L225+'DOE25'!L243-F14-G14</f>
        <v>124044</v>
      </c>
      <c r="E14" s="243"/>
      <c r="F14" s="255">
        <f>'DOE25'!J207+'DOE25'!J225+'DOE25'!J243</f>
        <v>11015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120501</v>
      </c>
      <c r="D15" s="20">
        <f>'DOE25'!L208+'DOE25'!L226+'DOE25'!L244-F15-G15</f>
        <v>120501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8123</v>
      </c>
      <c r="D16" s="243"/>
      <c r="E16" s="20">
        <f>'DOE25'!L209+'DOE25'!L227+'DOE25'!L245-F16-G16</f>
        <v>8123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412617</v>
      </c>
      <c r="D25" s="243"/>
      <c r="E25" s="243"/>
      <c r="F25" s="258"/>
      <c r="G25" s="256"/>
      <c r="H25" s="257">
        <f>'DOE25'!L260+'DOE25'!L261+'DOE25'!L341+'DOE25'!L342</f>
        <v>412617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45088</v>
      </c>
      <c r="D29" s="20">
        <f>'DOE25'!L358+'DOE25'!L359+'DOE25'!L360-'DOE25'!I367-F29-G29</f>
        <v>45088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28870</v>
      </c>
      <c r="D31" s="20">
        <f>'DOE25'!L290+'DOE25'!L309+'DOE25'!L328+'DOE25'!L333+'DOE25'!L334+'DOE25'!L335-F31-G31</f>
        <v>28635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235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2380571</v>
      </c>
      <c r="E33" s="246">
        <f>SUM(E5:E31)</f>
        <v>57069</v>
      </c>
      <c r="F33" s="246">
        <f>SUM(F5:F31)</f>
        <v>21205</v>
      </c>
      <c r="G33" s="246">
        <f>SUM(G5:G31)</f>
        <v>2552</v>
      </c>
      <c r="H33" s="246">
        <f>SUM(H5:H31)</f>
        <v>412617</v>
      </c>
    </row>
    <row r="35" spans="2:8" ht="12" thickBot="1" x14ac:dyDescent="0.25">
      <c r="B35" s="253" t="s">
        <v>847</v>
      </c>
      <c r="D35" s="254">
        <f>E33</f>
        <v>57069</v>
      </c>
      <c r="E35" s="249"/>
    </row>
    <row r="36" spans="2:8" ht="12" thickTop="1" x14ac:dyDescent="0.2">
      <c r="B36" t="s">
        <v>815</v>
      </c>
      <c r="D36" s="20">
        <f>D33</f>
        <v>2380571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10" zoomScaleNormal="110" workbookViewId="0">
      <pane ySplit="2" topLeftCell="A24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188408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65621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4485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2031</v>
      </c>
      <c r="E12" s="95">
        <f>'DOE25'!H13</f>
        <v>1919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188408</v>
      </c>
      <c r="D18" s="41">
        <f>SUM(D8:D17)</f>
        <v>2031</v>
      </c>
      <c r="E18" s="41">
        <f>SUM(E8:E17)</f>
        <v>1919</v>
      </c>
      <c r="F18" s="41">
        <f>SUM(F8:F17)</f>
        <v>4485</v>
      </c>
      <c r="G18" s="41">
        <f>SUM(G8:G17)</f>
        <v>65621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2956</v>
      </c>
      <c r="D21" s="95">
        <f>'DOE25'!G22</f>
        <v>0</v>
      </c>
      <c r="E21" s="95">
        <f>'DOE25'!H22</f>
        <v>1529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924</v>
      </c>
      <c r="D22" s="95">
        <f>'DOE25'!G23</f>
        <v>2031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8850</v>
      </c>
      <c r="D23" s="95">
        <f>'DOE25'!G24</f>
        <v>0</v>
      </c>
      <c r="E23" s="95">
        <f>'DOE25'!H24</f>
        <v>0</v>
      </c>
      <c r="F23" s="95">
        <f>'DOE25'!I24</f>
        <v>4485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1195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13925</v>
      </c>
      <c r="D31" s="41">
        <f>SUM(D21:D30)</f>
        <v>2031</v>
      </c>
      <c r="E31" s="41">
        <f>SUM(E21:E30)</f>
        <v>1529</v>
      </c>
      <c r="F31" s="41">
        <f>SUM(F21:F30)</f>
        <v>4485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58807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390</v>
      </c>
      <c r="F47" s="95">
        <f>'DOE25'!I48</f>
        <v>0</v>
      </c>
      <c r="G47" s="95">
        <f>'DOE25'!J48</f>
        <v>65621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8621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97055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174483</v>
      </c>
      <c r="D50" s="41">
        <f>SUM(D34:D49)</f>
        <v>0</v>
      </c>
      <c r="E50" s="41">
        <f>SUM(E34:E49)</f>
        <v>390</v>
      </c>
      <c r="F50" s="41">
        <f>SUM(F34:F49)</f>
        <v>0</v>
      </c>
      <c r="G50" s="41">
        <f>SUM(G34:G49)</f>
        <v>65621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188408</v>
      </c>
      <c r="D51" s="41">
        <f>D50+D31</f>
        <v>2031</v>
      </c>
      <c r="E51" s="41">
        <f>E50+E31</f>
        <v>1919</v>
      </c>
      <c r="F51" s="41">
        <f>F50+F31</f>
        <v>4485</v>
      </c>
      <c r="G51" s="41">
        <f>G50+G31</f>
        <v>65621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2018623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10800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23204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11314</v>
      </c>
      <c r="D62" s="130">
        <f>SUM(D57:D61)</f>
        <v>23204</v>
      </c>
      <c r="E62" s="130">
        <f>SUM(E57:E61)</f>
        <v>0</v>
      </c>
      <c r="F62" s="130">
        <f>SUM(F57:F61)</f>
        <v>0</v>
      </c>
      <c r="G62" s="130">
        <f>SUM(G57:G61)</f>
        <v>144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2029937</v>
      </c>
      <c r="D63" s="22">
        <f>D56+D62</f>
        <v>23204</v>
      </c>
      <c r="E63" s="22">
        <f>E56+E62</f>
        <v>0</v>
      </c>
      <c r="F63" s="22">
        <f>F56+F62</f>
        <v>0</v>
      </c>
      <c r="G63" s="22">
        <f>G56+G62</f>
        <v>144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321432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333647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655079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86424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14071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2466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100495</v>
      </c>
      <c r="D78" s="130">
        <f>SUM(D72:D77)</f>
        <v>2466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755574</v>
      </c>
      <c r="D81" s="130">
        <f>SUM(D79:D80)+D78+D70</f>
        <v>2466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4581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11825</v>
      </c>
      <c r="E88" s="95">
        <f>SUM('DOE25'!H153:H161)</f>
        <v>24329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11825</v>
      </c>
      <c r="E91" s="131">
        <f>SUM(E85:E90)</f>
        <v>28910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32781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32781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2785511</v>
      </c>
      <c r="D104" s="86">
        <f>D63+D81+D91+D103</f>
        <v>70276</v>
      </c>
      <c r="E104" s="86">
        <f>E63+E81+E91+E103</f>
        <v>28910</v>
      </c>
      <c r="F104" s="86">
        <f>F63+F81+F91+F103</f>
        <v>0</v>
      </c>
      <c r="G104" s="86">
        <f>G63+G81+G103</f>
        <v>144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1512952</v>
      </c>
      <c r="D109" s="24" t="s">
        <v>289</v>
      </c>
      <c r="E109" s="95">
        <f>('DOE25'!L276)+('DOE25'!L295)+('DOE25'!L314)</f>
        <v>11616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238299</v>
      </c>
      <c r="D110" s="24" t="s">
        <v>289</v>
      </c>
      <c r="E110" s="95">
        <f>('DOE25'!L277)+('DOE25'!L296)+('DOE25'!L315)</f>
        <v>15063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1751251</v>
      </c>
      <c r="D115" s="86">
        <f>SUM(D109:D114)</f>
        <v>0</v>
      </c>
      <c r="E115" s="86">
        <f>SUM(E109:E114)</f>
        <v>26679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113383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9405</v>
      </c>
      <c r="D119" s="24" t="s">
        <v>289</v>
      </c>
      <c r="E119" s="95">
        <f>+('DOE25'!L282)+('DOE25'!L301)+('DOE25'!L320)</f>
        <v>1691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77152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123911</v>
      </c>
      <c r="D121" s="24" t="s">
        <v>289</v>
      </c>
      <c r="E121" s="95">
        <f>+('DOE25'!L284)+('DOE25'!L303)+('DOE25'!L322)</f>
        <v>500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37604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135059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120501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8123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70276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625138</v>
      </c>
      <c r="D128" s="86">
        <f>SUM(D118:D127)</f>
        <v>70276</v>
      </c>
      <c r="E128" s="86">
        <f>SUM(E118:E127)</f>
        <v>2191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255000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157617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32781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445398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2821787</v>
      </c>
      <c r="D145" s="86">
        <f>(D115+D128+D144)</f>
        <v>70276</v>
      </c>
      <c r="E145" s="86">
        <f>(E115+E128+E144)</f>
        <v>28870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4975910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3710000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3710000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255000</v>
      </c>
    </row>
    <row r="159" spans="1:9" x14ac:dyDescent="0.2">
      <c r="A159" s="22" t="s">
        <v>35</v>
      </c>
      <c r="B159" s="137">
        <f>'DOE25'!F498</f>
        <v>3455000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3455000</v>
      </c>
    </row>
    <row r="160" spans="1:9" x14ac:dyDescent="0.2">
      <c r="A160" s="22" t="s">
        <v>36</v>
      </c>
      <c r="B160" s="137">
        <f>'DOE25'!F499</f>
        <v>1219433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1219433</v>
      </c>
    </row>
    <row r="161" spans="1:7" x14ac:dyDescent="0.2">
      <c r="A161" s="22" t="s">
        <v>37</v>
      </c>
      <c r="B161" s="137">
        <f>'DOE25'!F500</f>
        <v>4674433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4674433</v>
      </c>
    </row>
    <row r="162" spans="1:7" x14ac:dyDescent="0.2">
      <c r="A162" s="22" t="s">
        <v>38</v>
      </c>
      <c r="B162" s="137">
        <f>'DOE25'!F501</f>
        <v>255000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255000</v>
      </c>
    </row>
    <row r="163" spans="1:7" x14ac:dyDescent="0.2">
      <c r="A163" s="22" t="s">
        <v>39</v>
      </c>
      <c r="B163" s="137">
        <f>'DOE25'!F502</f>
        <v>147492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147492</v>
      </c>
    </row>
    <row r="164" spans="1:7" x14ac:dyDescent="0.2">
      <c r="A164" s="22" t="s">
        <v>246</v>
      </c>
      <c r="B164" s="137">
        <f>'DOE25'!F503</f>
        <v>402492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402492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4294967295" verticalDpi="4294967295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Mason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17396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17396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1524568</v>
      </c>
      <c r="D10" s="182">
        <f>ROUND((C10/$C$28)*100,1)</f>
        <v>58.4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253362</v>
      </c>
      <c r="D11" s="182">
        <f>ROUND((C11/$C$28)*100,1)</f>
        <v>9.6999999999999993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113383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11096</v>
      </c>
      <c r="D16" s="182">
        <f t="shared" si="0"/>
        <v>0.4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85275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124411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37604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135059</v>
      </c>
      <c r="D20" s="182">
        <f t="shared" si="0"/>
        <v>5.2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120501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157617</v>
      </c>
      <c r="D25" s="182">
        <f t="shared" si="0"/>
        <v>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47072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2609948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2609948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255000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2018623</v>
      </c>
      <c r="D35" s="182">
        <f t="shared" ref="D35:D40" si="1">ROUND((C35/$C$41)*100,1)</f>
        <v>71.400000000000006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11458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655079</v>
      </c>
      <c r="D37" s="182">
        <f t="shared" si="1"/>
        <v>23.2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102961</v>
      </c>
      <c r="D38" s="182">
        <f t="shared" si="1"/>
        <v>3.6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40735</v>
      </c>
      <c r="D39" s="182">
        <f t="shared" si="1"/>
        <v>1.4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2828856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Mason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2016-09-19T17:07:53Z</cp:lastPrinted>
  <dcterms:created xsi:type="dcterms:W3CDTF">1997-12-04T19:04:30Z</dcterms:created>
  <dcterms:modified xsi:type="dcterms:W3CDTF">2016-10-27T16:05:21Z</dcterms:modified>
</cp:coreProperties>
</file>