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582" i="1" l="1"/>
  <c r="G582" i="1"/>
  <c r="H582" i="1"/>
  <c r="H255" i="1"/>
  <c r="F101" i="1" l="1"/>
  <c r="C20" i="12" l="1"/>
  <c r="B20" i="12"/>
  <c r="B11" i="12"/>
  <c r="C11" i="12"/>
  <c r="J604" i="1" l="1"/>
  <c r="I604" i="1"/>
  <c r="H604" i="1"/>
  <c r="I591" i="1"/>
  <c r="J591" i="1"/>
  <c r="H591" i="1"/>
  <c r="J593" i="1"/>
  <c r="G465" i="1" l="1"/>
  <c r="F465" i="1"/>
  <c r="H281" i="1" l="1"/>
  <c r="C44" i="2" l="1"/>
  <c r="G499" i="1" l="1"/>
  <c r="F499" i="1"/>
  <c r="F495" i="1"/>
  <c r="H498" i="1"/>
  <c r="G498" i="1"/>
  <c r="F498" i="1"/>
  <c r="H495" i="1"/>
  <c r="G495" i="1"/>
  <c r="H397" i="1" l="1"/>
  <c r="H398" i="1"/>
  <c r="F110" i="1"/>
  <c r="F98" i="1"/>
  <c r="F68" i="1"/>
  <c r="F69" i="1"/>
  <c r="G24" i="1" l="1"/>
  <c r="H20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E131" i="2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G147" i="1"/>
  <c r="G162" i="1"/>
  <c r="H147" i="1"/>
  <c r="H162" i="1"/>
  <c r="H169" i="1" s="1"/>
  <c r="I147" i="1"/>
  <c r="I162" i="1"/>
  <c r="I169" i="1" s="1"/>
  <c r="L250" i="1"/>
  <c r="C113" i="2" s="1"/>
  <c r="L332" i="1"/>
  <c r="E113" i="2" s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7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F461" i="1" s="1"/>
  <c r="H639" i="1" s="1"/>
  <c r="G452" i="1"/>
  <c r="H452" i="1"/>
  <c r="F460" i="1"/>
  <c r="G460" i="1"/>
  <c r="G461" i="1" s="1"/>
  <c r="H640" i="1" s="1"/>
  <c r="H460" i="1"/>
  <c r="H461" i="1" s="1"/>
  <c r="H641" i="1" s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H192" i="1"/>
  <c r="G36" i="2"/>
  <c r="J655" i="1" l="1"/>
  <c r="J112" i="1"/>
  <c r="I552" i="1"/>
  <c r="G552" i="1"/>
  <c r="D91" i="2"/>
  <c r="G62" i="2"/>
  <c r="G63" i="2" s="1"/>
  <c r="E119" i="2"/>
  <c r="E110" i="2"/>
  <c r="E120" i="2"/>
  <c r="L570" i="1"/>
  <c r="G338" i="1"/>
  <c r="G352" i="1" s="1"/>
  <c r="E124" i="2"/>
  <c r="H112" i="1"/>
  <c r="H193" i="1" s="1"/>
  <c r="G629" i="1" s="1"/>
  <c r="J629" i="1" s="1"/>
  <c r="K549" i="1"/>
  <c r="E78" i="2"/>
  <c r="E81" i="2" s="1"/>
  <c r="D18" i="2"/>
  <c r="K550" i="1"/>
  <c r="C26" i="10"/>
  <c r="C25" i="10"/>
  <c r="E114" i="2"/>
  <c r="D18" i="13"/>
  <c r="C18" i="13" s="1"/>
  <c r="E111" i="2"/>
  <c r="I571" i="1"/>
  <c r="I452" i="1"/>
  <c r="L433" i="1"/>
  <c r="H476" i="1"/>
  <c r="H624" i="1" s="1"/>
  <c r="J624" i="1" s="1"/>
  <c r="F571" i="1"/>
  <c r="L565" i="1"/>
  <c r="H571" i="1"/>
  <c r="L539" i="1"/>
  <c r="H545" i="1"/>
  <c r="F476" i="1"/>
  <c r="H622" i="1" s="1"/>
  <c r="J622" i="1" s="1"/>
  <c r="J639" i="1"/>
  <c r="I460" i="1"/>
  <c r="I461" i="1" s="1"/>
  <c r="H642" i="1" s="1"/>
  <c r="J642" i="1" s="1"/>
  <c r="C78" i="2"/>
  <c r="A31" i="12"/>
  <c r="J623" i="1"/>
  <c r="J617" i="1"/>
  <c r="H408" i="1"/>
  <c r="H644" i="1" s="1"/>
  <c r="J644" i="1" s="1"/>
  <c r="J571" i="1"/>
  <c r="K545" i="1"/>
  <c r="G545" i="1"/>
  <c r="I545" i="1"/>
  <c r="F408" i="1"/>
  <c r="H643" i="1" s="1"/>
  <c r="F192" i="1"/>
  <c r="E103" i="2"/>
  <c r="G81" i="2"/>
  <c r="F78" i="2"/>
  <c r="F81" i="2" s="1"/>
  <c r="C70" i="2"/>
  <c r="E62" i="2"/>
  <c r="E63" i="2" s="1"/>
  <c r="D31" i="2"/>
  <c r="C18" i="2"/>
  <c r="L328" i="1"/>
  <c r="L309" i="1"/>
  <c r="E122" i="2"/>
  <c r="J643" i="1"/>
  <c r="L534" i="1"/>
  <c r="I476" i="1"/>
  <c r="H625" i="1" s="1"/>
  <c r="J625" i="1" s="1"/>
  <c r="H338" i="1"/>
  <c r="H352" i="1" s="1"/>
  <c r="E142" i="2"/>
  <c r="E144" i="2" s="1"/>
  <c r="E31" i="2"/>
  <c r="F18" i="2"/>
  <c r="F169" i="1"/>
  <c r="G112" i="1"/>
  <c r="L401" i="1"/>
  <c r="C139" i="2" s="1"/>
  <c r="L393" i="1"/>
  <c r="C138" i="2" s="1"/>
  <c r="E125" i="2"/>
  <c r="E121" i="2"/>
  <c r="E112" i="2"/>
  <c r="D19" i="13"/>
  <c r="C19" i="13" s="1"/>
  <c r="G164" i="2"/>
  <c r="G156" i="2"/>
  <c r="D50" i="2"/>
  <c r="F130" i="2"/>
  <c r="F144" i="2" s="1"/>
  <c r="F145" i="2" s="1"/>
  <c r="J651" i="1"/>
  <c r="G645" i="1"/>
  <c r="K598" i="1"/>
  <c r="G647" i="1" s="1"/>
  <c r="K571" i="1"/>
  <c r="L560" i="1"/>
  <c r="J545" i="1"/>
  <c r="L427" i="1"/>
  <c r="L419" i="1"/>
  <c r="G408" i="1"/>
  <c r="H645" i="1" s="1"/>
  <c r="F338" i="1"/>
  <c r="F352" i="1" s="1"/>
  <c r="G192" i="1"/>
  <c r="G161" i="2"/>
  <c r="G157" i="2"/>
  <c r="D81" i="2"/>
  <c r="D62" i="2"/>
  <c r="D63" i="2" s="1"/>
  <c r="H552" i="1"/>
  <c r="F552" i="1"/>
  <c r="G662" i="1"/>
  <c r="C132" i="2"/>
  <c r="L270" i="1"/>
  <c r="D17" i="13"/>
  <c r="C17" i="13" s="1"/>
  <c r="F22" i="13"/>
  <c r="C22" i="13" s="1"/>
  <c r="L256" i="1"/>
  <c r="G650" i="1"/>
  <c r="C16" i="10"/>
  <c r="L229" i="1"/>
  <c r="H647" i="1"/>
  <c r="H662" i="1"/>
  <c r="C123" i="2"/>
  <c r="C19" i="10"/>
  <c r="C18" i="10"/>
  <c r="C119" i="2"/>
  <c r="C15" i="10"/>
  <c r="C112" i="2"/>
  <c r="C11" i="10"/>
  <c r="L247" i="1"/>
  <c r="J257" i="1"/>
  <c r="J271" i="1" s="1"/>
  <c r="I257" i="1"/>
  <c r="I271" i="1" s="1"/>
  <c r="C109" i="2"/>
  <c r="F257" i="1"/>
  <c r="F271" i="1" s="1"/>
  <c r="G257" i="1"/>
  <c r="G271" i="1" s="1"/>
  <c r="I369" i="1"/>
  <c r="H634" i="1" s="1"/>
  <c r="J634" i="1" s="1"/>
  <c r="L362" i="1"/>
  <c r="C27" i="10" s="1"/>
  <c r="D29" i="13"/>
  <c r="C29" i="13" s="1"/>
  <c r="G661" i="1"/>
  <c r="D14" i="13"/>
  <c r="C14" i="13" s="1"/>
  <c r="C20" i="10"/>
  <c r="E13" i="13"/>
  <c r="C13" i="13" s="1"/>
  <c r="C121" i="2"/>
  <c r="D12" i="13"/>
  <c r="C12" i="13" s="1"/>
  <c r="E8" i="13"/>
  <c r="C8" i="13" s="1"/>
  <c r="D7" i="13"/>
  <c r="C7" i="13" s="1"/>
  <c r="D6" i="13"/>
  <c r="C6" i="13" s="1"/>
  <c r="A40" i="12"/>
  <c r="C13" i="10"/>
  <c r="C110" i="2"/>
  <c r="H257" i="1"/>
  <c r="H271" i="1" s="1"/>
  <c r="A13" i="12"/>
  <c r="K257" i="1"/>
  <c r="K271" i="1" s="1"/>
  <c r="C10" i="10"/>
  <c r="D5" i="13"/>
  <c r="C5" i="13" s="1"/>
  <c r="C125" i="2"/>
  <c r="L211" i="1"/>
  <c r="E16" i="13"/>
  <c r="C17" i="10"/>
  <c r="J640" i="1"/>
  <c r="J641" i="1"/>
  <c r="E118" i="2"/>
  <c r="E109" i="2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H25" i="13"/>
  <c r="F112" i="1"/>
  <c r="L351" i="1"/>
  <c r="L614" i="1"/>
  <c r="C85" i="2"/>
  <c r="C91" i="2" s="1"/>
  <c r="H661" i="1"/>
  <c r="C21" i="10"/>
  <c r="C12" i="10"/>
  <c r="L290" i="1"/>
  <c r="I52" i="1"/>
  <c r="H620" i="1" s="1"/>
  <c r="K338" i="1"/>
  <c r="K352" i="1" s="1"/>
  <c r="H52" i="1"/>
  <c r="H619" i="1" s="1"/>
  <c r="J619" i="1" s="1"/>
  <c r="F661" i="1"/>
  <c r="C35" i="10"/>
  <c r="G649" i="1"/>
  <c r="J649" i="1" s="1"/>
  <c r="L524" i="1"/>
  <c r="J338" i="1"/>
  <c r="J352" i="1" s="1"/>
  <c r="C124" i="2"/>
  <c r="C120" i="2"/>
  <c r="C111" i="2"/>
  <c r="K503" i="1"/>
  <c r="L382" i="1"/>
  <c r="G636" i="1" s="1"/>
  <c r="J636" i="1" s="1"/>
  <c r="K500" i="1"/>
  <c r="C32" i="10"/>
  <c r="K551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J645" i="1" l="1"/>
  <c r="L571" i="1"/>
  <c r="J647" i="1"/>
  <c r="F33" i="13"/>
  <c r="E104" i="2"/>
  <c r="C141" i="2"/>
  <c r="C144" i="2" s="1"/>
  <c r="E115" i="2"/>
  <c r="G660" i="1"/>
  <c r="G664" i="1" s="1"/>
  <c r="G667" i="1" s="1"/>
  <c r="G51" i="2"/>
  <c r="K552" i="1"/>
  <c r="I193" i="1"/>
  <c r="G630" i="1" s="1"/>
  <c r="J630" i="1" s="1"/>
  <c r="L408" i="1"/>
  <c r="G637" i="1" s="1"/>
  <c r="J637" i="1" s="1"/>
  <c r="L434" i="1"/>
  <c r="G638" i="1" s="1"/>
  <c r="J638" i="1" s="1"/>
  <c r="C81" i="2"/>
  <c r="C104" i="2" s="1"/>
  <c r="C39" i="10"/>
  <c r="D51" i="2"/>
  <c r="F104" i="2"/>
  <c r="E51" i="2"/>
  <c r="L338" i="1"/>
  <c r="L352" i="1" s="1"/>
  <c r="G633" i="1" s="1"/>
  <c r="J633" i="1" s="1"/>
  <c r="D104" i="2"/>
  <c r="C36" i="10"/>
  <c r="E128" i="2"/>
  <c r="H660" i="1"/>
  <c r="H664" i="1" s="1"/>
  <c r="H672" i="1" s="1"/>
  <c r="C6" i="10" s="1"/>
  <c r="I662" i="1"/>
  <c r="H648" i="1"/>
  <c r="J648" i="1" s="1"/>
  <c r="L257" i="1"/>
  <c r="L271" i="1" s="1"/>
  <c r="G632" i="1" s="1"/>
  <c r="J632" i="1" s="1"/>
  <c r="G635" i="1"/>
  <c r="J635" i="1" s="1"/>
  <c r="E33" i="13"/>
  <c r="D35" i="13" s="1"/>
  <c r="C128" i="2"/>
  <c r="C115" i="2"/>
  <c r="F660" i="1"/>
  <c r="C16" i="13"/>
  <c r="D31" i="13"/>
  <c r="C31" i="13" s="1"/>
  <c r="G104" i="2"/>
  <c r="I661" i="1"/>
  <c r="F193" i="1"/>
  <c r="G627" i="1" s="1"/>
  <c r="J627" i="1" s="1"/>
  <c r="L545" i="1"/>
  <c r="C25" i="13"/>
  <c r="H33" i="13"/>
  <c r="C28" i="10"/>
  <c r="D22" i="10" s="1"/>
  <c r="F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I660" i="1"/>
  <c r="I664" i="1" s="1"/>
  <c r="I672" i="1" s="1"/>
  <c r="C7" i="10" s="1"/>
  <c r="H646" i="1"/>
  <c r="J646" i="1" s="1"/>
  <c r="H667" i="1"/>
  <c r="G672" i="1"/>
  <c r="C5" i="10" s="1"/>
  <c r="C145" i="2"/>
  <c r="F664" i="1"/>
  <c r="F667" i="1" s="1"/>
  <c r="D20" i="10"/>
  <c r="D13" i="10"/>
  <c r="D18" i="10"/>
  <c r="D21" i="10"/>
  <c r="D16" i="10"/>
  <c r="D12" i="10"/>
  <c r="D26" i="10"/>
  <c r="D25" i="10"/>
  <c r="D27" i="10"/>
  <c r="D17" i="10"/>
  <c r="D24" i="10"/>
  <c r="D10" i="10"/>
  <c r="C30" i="10"/>
  <c r="D23" i="10"/>
  <c r="D19" i="10"/>
  <c r="D15" i="10"/>
  <c r="D11" i="10"/>
  <c r="D33" i="13"/>
  <c r="D36" i="13" s="1"/>
  <c r="C41" i="10"/>
  <c r="D38" i="10" s="1"/>
  <c r="H656" i="1" l="1"/>
  <c r="F672" i="1"/>
  <c r="C4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<sst xmlns="http://schemas.openxmlformats.org/spreadsheetml/2006/main" count="3961" uniqueCount="919">
  <si>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</si>
  <si>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</si>
  <si>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</si>
  <si>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</si>
  <si>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</si>
  <si>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</si>
  <si>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</si>
  <si>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</si>
  <si>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</si>
  <si>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</si>
  <si>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</si>
  <si>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</si>
  <si>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</si>
  <si>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</si>
  <si>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</si>
  <si>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</si>
  <si>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</si>
  <si>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</si>
  <si>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</si>
  <si>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</si>
  <si>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</si>
  <si>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</si>
  <si>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</si>
  <si>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</si>
  <si>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</si>
  <si>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</si>
  <si>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</si>
  <si>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</si>
  <si>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</si>
  <si>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</si>
  <si>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</si>
  <si>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</si>
  <si>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</si>
  <si>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</si>
  <si>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</si>
  <si>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</si>
  <si>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</si>
  <si>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</si>
  <si>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</si>
  <si>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</si>
  <si>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</si>
  <si>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</si>
  <si>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</si>
  <si>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</si>
  <si>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</si>
  <si>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</si>
  <si>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</si>
  <si>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</si>
  <si>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</si>
  <si>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</si>
  <si>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</si>
  <si>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</si>
  <si>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</si>
  <si>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</si>
  <si>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</si>
  <si>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</si>
  <si>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</si>
  <si>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</si>
  <si>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</si>
  <si>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</si>
  <si>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</si>
  <si>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</si>
  <si>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</si>
  <si>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</si>
  <si>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</si>
  <si>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</si>
  <si>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</si>
  <si>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</si>
  <si>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</si>
  <si>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</si>
  <si>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</si>
  <si>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</si>
  <si>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</si>
  <si>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</si>
  <si>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</si>
  <si>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</si>
  <si>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</si>
  <si>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</si>
  <si>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</si>
  <si>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</si>
  <si>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</si>
  <si>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</si>
  <si>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</si>
  <si>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</si>
  <si>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</si>
  <si>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</si>
  <si>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</si>
  <si>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</si>
  <si>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</si>
  <si>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</si>
  <si>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</si>
  <si>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</si>
  <si>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</si>
  <si>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</si>
  <si>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</si>
  <si>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</si>
  <si>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</si>
  <si>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</si>
  <si>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</si>
  <si>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</si>
  <si>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</si>
  <si>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</si>
  <si>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</si>
  <si>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</si>
  <si>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</si>
  <si>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</si>
  <si>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</si>
  <si>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</si>
  <si>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</si>
  <si>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</si>
  <si>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</si>
  <si>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</si>
  <si>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</si>
  <si>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</si>
  <si>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</si>
  <si>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</si>
  <si>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</si>
  <si>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</si>
  <si>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</si>
  <si>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</si>
  <si>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</si>
  <si>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</si>
  <si>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</si>
  <si>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</si>
  <si>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</si>
  <si>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</si>
  <si>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</si>
  <si>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</si>
  <si>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</si>
  <si>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</si>
  <si>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</si>
  <si>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</si>
  <si>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</si>
  <si>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</si>
  <si>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</si>
  <si>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</si>
  <si>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</si>
  <si>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</si>
  <si>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</si>
  <si>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</si>
  <si>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</si>
  <si>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</si>
  <si>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</si>
  <si>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</si>
  <si>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</si>
  <si>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</si>
  <si>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</si>
  <si>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</si>
  <si>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</si>
  <si>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</si>
  <si>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</si>
  <si>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</si>
  <si>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</si>
  <si>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</si>
  <si>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</si>
  <si>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</si>
  <si>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</si>
  <si>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</si>
  <si>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</si>
  <si>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</si>
  <si>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</si>
  <si>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</si>
  <si>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</si>
  <si>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</si>
  <si>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</si>
  <si>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</si>
  <si>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</si>
  <si>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</si>
  <si>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</si>
  <si>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</si>
  <si>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</si>
  <si>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</si>
  <si>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</si>
  <si>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</si>
  <si>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</si>
  <si>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</si>
  <si>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</si>
  <si>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</si>
  <si>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</si>
  <si>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</si>
  <si>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</si>
  <si>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</si>
  <si>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</si>
  <si>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</si>
  <si>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</si>
  <si>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</si>
  <si>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</si>
  <si>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</si>
  <si>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</si>
  <si>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</si>
  <si>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</si>
  <si>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</si>
  <si>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</si>
  <si>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</si>
  <si>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</si>
  <si>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</si>
  <si>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</si>
  <si>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</si>
  <si>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</si>
  <si>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</si>
  <si>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</si>
  <si>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</si>
  <si>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</si>
  <si>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</si>
  <si>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</si>
  <si>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</si>
  <si>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</si>
  <si>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</si>
  <si>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</si>
  <si>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</si>
  <si>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</si>
  <si>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</si>
  <si>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</si>
  <si>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</si>
  <si>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</si>
  <si>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</si>
  <si>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</si>
  <si>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</si>
  <si>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</si>
  <si>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</si>
  <si>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</si>
  <si>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</si>
  <si>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</si>
  <si>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</si>
  <si>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</si>
  <si>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</si>
  <si>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</si>
  <si>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</si>
  <si>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</si>
  <si>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</si>
  <si>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</si>
  <si>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</si>
  <si>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</si>
  <si>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</si>
  <si>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</si>
  <si>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</si>
  <si>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</si>
  <si>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</si>
  <si>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</si>
  <si>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</si>
  <si>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</si>
  <si>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</si>
  <si>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</si>
  <si>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</si>
  <si>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</si>
  <si>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</si>
  <si>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</si>
  <si>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</si>
  <si>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</si>
  <si>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</si>
  <si>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</si>
  <si>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</si>
  <si>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</si>
  <si>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</si>
  <si>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</si>
  <si>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</si>
  <si>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</si>
  <si>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</si>
  <si>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</si>
  <si>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</si>
  <si>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</si>
  <si>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</si>
  <si>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</si>
  <si>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</si>
  <si>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</si>
  <si>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</si>
  <si>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</si>
  <si>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</si>
  <si>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</si>
  <si>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</si>
  <si>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</si>
  <si>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</si>
  <si>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</si>
  <si>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</si>
  <si>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</si>
  <si>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</si>
  <si>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</si>
  <si>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</si>
  <si>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</si>
  <si>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</si>
  <si>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</si>
  <si>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</si>
  <si>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</si>
  <si>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</si>
  <si>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</si>
  <si>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</si>
  <si>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</si>
  <si>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</si>
  <si>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</si>
  <si>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</si>
  <si>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</si>
  <si>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</si>
  <si>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</si>
  <si>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</si>
  <si>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</si>
  <si>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</si>
  <si>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</si>
  <si>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</si>
  <si>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</si>
  <si>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</si>
  <si>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</si>
  <si>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</si>
  <si>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</si>
  <si>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</si>
  <si>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</si>
  <si>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</si>
  <si>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</si>
  <si>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</si>
  <si>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</si>
  <si>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</si>
  <si>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</si>
  <si>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</si>
  <si>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</si>
  <si>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</si>
  <si>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</si>
  <si>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</si>
  <si>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</si>
  <si>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</si>
  <si>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</si>
  <si>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</si>
  <si>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</si>
  <si>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</si>
  <si>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</si>
  <si>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</si>
  <si>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</si>
  <si>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</si>
  <si>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</si>
  <si>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</si>
  <si>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</si>
  <si>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</si>
  <si>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</si>
  <si>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</si>
  <si>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</si>
  <si>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</si>
  <si>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</si>
  <si>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</si>
  <si>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</si>
  <si>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</si>
  <si>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</si>
  <si>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</si>
  <si>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</si>
  <si>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</si>
  <si>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</si>
  <si>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</si>
  <si>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</si>
  <si>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</si>
  <si>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</si>
  <si>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</si>
  <si>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</si>
  <si>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</si>
  <si>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</si>
  <si>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</si>
  <si>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</si>
  <si>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</si>
  <si>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</si>
  <si>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</si>
  <si>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</si>
  <si>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</si>
  <si>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</si>
  <si>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</si>
  <si>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</si>
  <si>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</si>
  <si>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</si>
  <si>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</si>
  <si>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</si>
  <si>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</si>
  <si>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</si>
  <si>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</si>
  <si>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</si>
  <si>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</si>
  <si>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</si>
  <si>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</si>
  <si>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</si>
  <si>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</si>
  <si>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</si>
  <si>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</si>
  <si>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</si>
  <si>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</si>
  <si>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</si>
  <si>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</si>
  <si>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</si>
  <si>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</si>
  <si>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</si>
  <si>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</si>
  <si>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</si>
  <si>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</si>
  <si>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</si>
  <si>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</si>
  <si>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</si>
  <si>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</si>
  <si>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</si>
  <si>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</si>
  <si>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</si>
  <si>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</si>
  <si>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</si>
  <si>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</si>
  <si>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</si>
  <si>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</si>
  <si>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</si>
  <si>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</si>
  <si>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</si>
  <si>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</si>
  <si>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</si>
  <si>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</si>
  <si>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</si>
  <si>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</si>
  <si>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</si>
  <si>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</si>
  <si>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</si>
  <si>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</si>
  <si>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</si>
  <si>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</si>
  <si>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</si>
  <si>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</si>
  <si>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</si>
  <si>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</si>
  <si>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</si>
  <si>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</si>
  <si>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</si>
  <si>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</si>
  <si>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</si>
  <si>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</si>
  <si>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</si>
  <si>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</si>
  <si>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</si>
  <si>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</si>
  <si>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</si>
  <si>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</si>
  <si>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</si>
  <si>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</si>
  <si>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</si>
  <si>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</si>
  <si>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</si>
  <si>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</si>
  <si>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</si>
  <si>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</si>
  <si>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</si>
  <si>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</si>
  <si>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</si>
  <si>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</si>
  <si>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</si>
  <si>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</si>
  <si>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</si>
  <si>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</si>
  <si>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</si>
  <si>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</si>
  <si>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</si>
  <si>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</si>
  <si>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</si>
  <si>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</si>
  <si>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</si>
  <si>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</si>
  <si>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</si>
  <si>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</si>
  <si>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</si>
  <si>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</si>
  <si>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</si>
  <si>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</si>
  <si>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</si>
  <si>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</si>
  <si>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</si>
  <si>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</si>
  <si>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</si>
  <si>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</si>
  <si>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</si>
  <si>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</si>
  <si>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</si>
  <si>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</si>
  <si>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</si>
  <si>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</si>
  <si>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</si>
  <si>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</si>
  <si>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</si>
  <si>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</si>
  <si>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</si>
  <si>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</si>
  <si>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</si>
  <si>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</si>
  <si>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</si>
  <si>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</si>
  <si>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</si>
  <si>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</si>
  <si>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</si>
  <si>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</si>
  <si>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</si>
  <si>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</si>
  <si>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</si>
  <si>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</si>
  <si>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</si>
  <si>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</si>
  <si>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</si>
  <si>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</si>
  <si>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</si>
  <si>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</si>
  <si>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</si>
  <si>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</si>
  <si>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</si>
  <si>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</si>
  <si>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</si>
  <si>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</si>
  <si>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</si>
  <si>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</si>
  <si>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</si>
  <si>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</si>
  <si>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</si>
  <si>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</si>
  <si>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</si>
  <si>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</si>
  <si>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</si>
  <si>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</si>
  <si>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</si>
  <si>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</si>
  <si>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</si>
  <si>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</si>
  <si>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</si>
  <si>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</si>
  <si>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</si>
  <si>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</si>
  <si>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</si>
  <si>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</si>
  <si>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</si>
  <si>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</si>
  <si>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</si>
  <si>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</si>
  <si>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</si>
  <si>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</si>
  <si>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</si>
  <si>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</si>
  <si>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</si>
  <si>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</si>
  <si>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</si>
  <si>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</si>
  <si>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</si>
  <si>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</si>
  <si>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</si>
  <si>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</si>
  <si>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</si>
  <si>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</si>
  <si>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</si>
  <si>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</si>
  <si>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</si>
  <si>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</si>
  <si>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</si>
  <si>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</si>
  <si>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</si>
  <si>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</si>
  <si>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</si>
  <si>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</si>
  <si>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</si>
  <si>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</si>
  <si>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</si>
  <si>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</si>
  <si>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</si>
  <si>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</si>
  <si>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</si>
  <si>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</si>
  <si>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</si>
  <si>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</si>
  <si>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</si>
  <si>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</si>
  <si>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</si>
  <si>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</si>
  <si>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</si>
  <si>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</si>
  <si>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</si>
  <si>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</si>
  <si>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</si>
  <si>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</si>
  <si>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</si>
  <si>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</si>
  <si>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</si>
  <si>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</si>
  <si>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</si>
  <si>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</si>
  <si>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</si>
  <si>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</si>
  <si>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</si>
  <si>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</si>
  <si>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</si>
  <si>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</si>
  <si>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</si>
  <si>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</si>
  <si>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</si>
  <si>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</si>
  <si>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</si>
  <si>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</si>
  <si>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</si>
  <si>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</si>
  <si>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</si>
  <si>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</si>
  <si>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</si>
  <si>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</si>
  <si>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</si>
  <si>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</si>
  <si>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</si>
  <si>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</si>
  <si>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</si>
  <si>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</si>
  <si>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</si>
  <si>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</si>
  <si>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</si>
  <si>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</si>
  <si>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</si>
  <si>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</si>
  <si>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</si>
  <si>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</si>
  <si>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</si>
  <si>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</si>
  <si>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</si>
  <si>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</si>
  <si>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</si>
  <si>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</si>
  <si>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</si>
  <si>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</si>
  <si>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</si>
  <si>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</si>
  <si>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</si>
  <si>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</si>
  <si>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</si>
  <si>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</si>
  <si>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</si>
  <si>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</si>
  <si>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</si>
  <si>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</si>
  <si>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</si>
  <si>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</si>
  <si>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</si>
  <si>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</si>
  <si>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</si>
  <si>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</si>
  <si>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</si>
  <si>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</si>
  <si>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</si>
  <si>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</si>
  <si>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</si>
  <si>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</si>
  <si>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</si>
  <si>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</si>
  <si>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</si>
  <si>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</si>
  <si>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</si>
  <si>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</si>
  <si>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</si>
  <si>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</si>
  <si>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</si>
  <si>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</si>
  <si>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</si>
  <si>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</si>
  <si>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</si>
  <si>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</si>
  <si>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</si>
  <si>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</si>
  <si>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</si>
  <si>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</si>
  <si>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</si>
  <si>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</si>
  <si>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</si>
  <si>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</si>
  <si>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</si>
  <si>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</si>
  <si>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</si>
  <si>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</si>
  <si>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</si>
  <si>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</si>
  <si>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</si>
  <si>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</si>
  <si>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</si>
  <si>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</si>
  <si>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</si>
  <si>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</si>
  <si>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</si>
  <si>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</si>
  <si>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</si>
  <si>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</si>
  <si>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</si>
  <si>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</si>
  <si>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</si>
  <si>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</si>
  <si>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</si>
  <si>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</si>
  <si>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</si>
  <si>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</si>
  <si>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</si>
  <si>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</si>
  <si>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</si>
  <si>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</si>
  <si>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</si>
  <si>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</si>
  <si>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</si>
  <si>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</si>
  <si>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</si>
  <si>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</si>
  <si>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</si>
  <si>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</si>
  <si>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</si>
  <si>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</si>
  <si>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</si>
  <si>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</si>
  <si>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</si>
  <si>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</si>
  <si>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</si>
  <si>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</si>
  <si>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</si>
  <si>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</si>
  <si>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</si>
  <si>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</si>
  <si>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</si>
  <si>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</si>
  <si>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</si>
  <si>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</si>
  <si>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</si>
  <si>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</si>
  <si>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</si>
  <si>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</si>
  <si>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</si>
  <si>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</si>
  <si>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</si>
  <si>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</si>
  <si>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</si>
  <si>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</si>
  <si>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</si>
  <si>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</si>
  <si>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</si>
  <si>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</si>
  <si>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</si>
  <si>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</si>
  <si>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</si>
  <si>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</si>
  <si>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</si>
  <si>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</si>
  <si>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</si>
  <si>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</si>
  <si>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</si>
  <si>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</si>
  <si>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</si>
  <si>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</si>
  <si>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</si>
  <si>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</si>
  <si>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</si>
  <si>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</si>
  <si>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</si>
  <si>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</si>
  <si>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</si>
  <si>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</si>
  <si>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</si>
  <si>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</si>
  <si>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</si>
  <si>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</si>
  <si>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</si>
  <si>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</si>
  <si>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</si>
  <si>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</si>
  <si>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</si>
  <si>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</si>
  <si>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</si>
  <si>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</si>
  <si>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</si>
  <si>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</si>
  <si>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</si>
  <si>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</si>
  <si>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</si>
  <si>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</si>
  <si>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</si>
  <si>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</si>
  <si>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</si>
  <si>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</si>
  <si>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</si>
  <si>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</si>
  <si>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</si>
  <si>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</si>
  <si>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</si>
  <si>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</si>
  <si>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</si>
  <si>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</si>
  <si>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</si>
  <si>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</si>
  <si>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</si>
  <si>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</si>
  <si>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</si>
  <si>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</si>
  <si>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</si>
  <si>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</si>
  <si>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</si>
  <si>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</si>
  <si>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</si>
  <si>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</si>
  <si>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</si>
  <si>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</si>
  <si>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</si>
  <si>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</si>
  <si>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</si>
  <si>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</si>
  <si>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</si>
  <si>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</si>
  <si>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</si>
  <si>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</si>
  <si>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</si>
  <si>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</si>
  <si>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</si>
  <si>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</si>
  <si>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</si>
  <si>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</si>
  <si>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</si>
  <si>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</si>
  <si>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</si>
  <si>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</si>
  <si>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</si>
  <si>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</si>
  <si>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</si>
  <si>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</si>
  <si>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</si>
  <si>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</si>
  <si>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</si>
  <si>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</si>
  <si>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</si>
  <si>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</si>
  <si>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</si>
  <si>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</si>
  <si>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</si>
  <si>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</si>
  <si>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</si>
  <si>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</si>
  <si>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</si>
  <si>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</si>
  <si>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</si>
  <si>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</si>
  <si>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</si>
  <si>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</si>
  <si>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</si>
  <si>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</si>
  <si>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</si>
  <si>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</si>
  <si>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</si>
  <si>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</si>
  <si>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</si>
  <si>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</si>
  <si>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</si>
  <si>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</si>
  <si>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</si>
  <si>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</si>
  <si>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</si>
  <si>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</si>
  <si>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</si>
  <si>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</si>
  <si>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</si>
  <si>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</si>
  <si>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</si>
  <si>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</si>
  <si>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</si>
  <si>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</si>
  <si>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</si>
  <si>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</si>
  <si>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</si>
  <si>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</si>
  <si>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</si>
  <si>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</si>
  <si>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</si>
  <si>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</si>
  <si>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</si>
  <si>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</si>
  <si>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</si>
  <si>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</si>
  <si>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</si>
  <si>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</si>
  <si>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</si>
  <si>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</si>
  <si>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</si>
  <si>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</si>
  <si>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</si>
  <si>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</si>
  <si>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</si>
  <si>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</si>
  <si>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</si>
  <si>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</si>
  <si>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</si>
  <si>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</si>
  <si>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</si>
  <si>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</si>
  <si>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</si>
  <si>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</si>
  <si>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</si>
  <si>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</si>
  <si>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</si>
  <si>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</si>
  <si>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</si>
  <si>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</si>
  <si>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</si>
  <si>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</si>
  <si>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</si>
  <si>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</si>
  <si>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</si>
  <si>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</si>
  <si>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</si>
  <si>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</si>
  <si>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</si>
  <si>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</si>
  <si>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</si>
  <si>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</si>
  <si>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</si>
  <si>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</si>
  <si>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</si>
  <si>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</si>
  <si>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</si>
  <si>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</si>
  <si>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</si>
  <si>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</si>
  <si>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</si>
  <si>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</si>
  <si>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</si>
  <si>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</si>
  <si>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</si>
  <si>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</si>
  <si>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2/01</t>
  </si>
  <si>
    <t>8/20</t>
  </si>
  <si>
    <t>2/04</t>
  </si>
  <si>
    <t>8/23</t>
  </si>
  <si>
    <t>07/07</t>
  </si>
  <si>
    <t>07/20</t>
  </si>
  <si>
    <t>Merrimack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</si>
</sst>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zoomScaleNormal="75" workbookViewId="0">
      <pane xSplit="5" ySplit="3" topLeftCell="F61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351</v>
      </c>
      <c r="C2" s="21">
        <v>351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5104744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725027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112746</v>
      </c>
      <c r="G12" s="18">
        <v>137437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670847</v>
      </c>
      <c r="G13" s="18"/>
      <c r="H13" s="18">
        <v>157216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191388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6079725</v>
      </c>
      <c r="G19" s="41">
        <f>SUM(G9:G18)</f>
        <v>137437</v>
      </c>
      <c r="H19" s="41">
        <f>SUM(H9:H18)</f>
        <v>157216</v>
      </c>
      <c r="I19" s="41">
        <f>SUM(I9:I18)</f>
        <v>0</v>
      </c>
      <c r="J19" s="41">
        <f>SUM(J9:J18)</f>
        <v>725027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157216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89450</v>
      </c>
      <c r="G24" s="18">
        <f>149+26431</f>
        <v>26580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89450</v>
      </c>
      <c r="G32" s="41">
        <f>SUM(G22:G31)</f>
        <v>26580</v>
      </c>
      <c r="H32" s="41">
        <f>SUM(H22:H31)</f>
        <v>157216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45267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21839</v>
      </c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65590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4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725027</v>
      </c>
      <c r="G48" s="18"/>
      <c r="H48" s="18"/>
      <c r="I48" s="18"/>
      <c r="J48" s="13">
        <f>SUM(I459)</f>
        <v>725027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245670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4997739-75000</f>
        <v>4922739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5990275</v>
      </c>
      <c r="G51" s="41">
        <f>SUM(G35:G50)</f>
        <v>110857</v>
      </c>
      <c r="H51" s="41">
        <f>SUM(H35:H50)</f>
        <v>0</v>
      </c>
      <c r="I51" s="41">
        <f>SUM(I35:I50)</f>
        <v>0</v>
      </c>
      <c r="J51" s="41">
        <f>SUM(J35:J50)</f>
        <v>725027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6079725</v>
      </c>
      <c r="G52" s="41">
        <f>G51+G32</f>
        <v>137437</v>
      </c>
      <c r="H52" s="41">
        <f>H51+H32</f>
        <v>157216</v>
      </c>
      <c r="I52" s="41">
        <f>I51+I32</f>
        <v>0</v>
      </c>
      <c r="J52" s="41">
        <f>J51+J32</f>
        <v>725027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46086553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46086553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9875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64548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18851.099999999999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114857.97</f>
        <v>114857.97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63962.25</f>
        <v>63962.25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272094.32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9103.7999999999993</v>
      </c>
      <c r="G96" s="18"/>
      <c r="H96" s="18"/>
      <c r="I96" s="18"/>
      <c r="J96" s="18">
        <v>562.61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905399.37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19500</f>
        <v>19500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28300.5-8697.5</f>
        <v>19603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1026049.49+7789.28</f>
        <v>1033838.77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1082045.57</v>
      </c>
      <c r="G111" s="41">
        <f>SUM(G96:G110)</f>
        <v>905399.37</v>
      </c>
      <c r="H111" s="41">
        <f>SUM(H96:H110)</f>
        <v>0</v>
      </c>
      <c r="I111" s="41">
        <f>SUM(I96:I110)</f>
        <v>0</v>
      </c>
      <c r="J111" s="41">
        <f>SUM(J96:J110)</f>
        <v>562.61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47440692.890000001</v>
      </c>
      <c r="G112" s="41">
        <f>G60+G111</f>
        <v>905399.37</v>
      </c>
      <c r="H112" s="41">
        <f>H60+H79+H94+H111</f>
        <v>0</v>
      </c>
      <c r="I112" s="41">
        <f>I60+I111</f>
        <v>0</v>
      </c>
      <c r="J112" s="41">
        <f>J60+J111</f>
        <v>562.61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8772765.1099999994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6884669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15657434.109999999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415587.3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899063.32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8697.5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56542.29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1323348.1199999999</v>
      </c>
      <c r="G136" s="41">
        <f>SUM(G123:G135)</f>
        <v>56542.29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16980782.23</v>
      </c>
      <c r="G140" s="41">
        <f>G121+SUM(G136:G137)</f>
        <v>56542.29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216478.29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1159864.79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173777.22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629360.79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629360.79</v>
      </c>
      <c r="G162" s="41">
        <f>SUM(G150:G161)</f>
        <v>173777.22</v>
      </c>
      <c r="H162" s="41">
        <f>SUM(H150:H161)</f>
        <v>1376343.08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629360.79</v>
      </c>
      <c r="G169" s="41">
        <f>G147+G162+SUM(G163:G168)</f>
        <v>173777.22</v>
      </c>
      <c r="H169" s="41">
        <f>H147+H162+SUM(H163:H168)</f>
        <v>1376343.08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>
        <v>54348.62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54348.62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54348.62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65050835.910000004</v>
      </c>
      <c r="G193" s="47">
        <f>G112+G140+G169+G192</f>
        <v>1135718.8800000001</v>
      </c>
      <c r="H193" s="47">
        <f>H112+H140+H169+H192</f>
        <v>1376343.08</v>
      </c>
      <c r="I193" s="47">
        <f>I112+I140+I169+I192</f>
        <v>0</v>
      </c>
      <c r="J193" s="47">
        <f>J112+J140+J192</f>
        <v>54911.23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7067798.2300000004</v>
      </c>
      <c r="G197" s="18">
        <v>4128939.1527223103</v>
      </c>
      <c r="H197" s="18">
        <v>58341.36</v>
      </c>
      <c r="I197" s="18">
        <v>297374.5</v>
      </c>
      <c r="J197" s="18">
        <v>163971.04999999999</v>
      </c>
      <c r="K197" s="18">
        <v>0</v>
      </c>
      <c r="L197" s="19">
        <f>SUM(F197:K197)</f>
        <v>11716424.292722311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4104096.56</v>
      </c>
      <c r="G198" s="18">
        <v>2397573.3915563328</v>
      </c>
      <c r="H198" s="18">
        <v>1244205.3500000001</v>
      </c>
      <c r="I198" s="18">
        <v>18864.57</v>
      </c>
      <c r="J198" s="18">
        <v>0</v>
      </c>
      <c r="K198" s="18">
        <v>0</v>
      </c>
      <c r="L198" s="19">
        <f>SUM(F198:K198)</f>
        <v>7764739.8715563323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/>
      <c r="H200" s="18">
        <v>5500</v>
      </c>
      <c r="I200" s="18">
        <v>0</v>
      </c>
      <c r="J200" s="18">
        <v>0</v>
      </c>
      <c r="K200" s="18">
        <v>0</v>
      </c>
      <c r="L200" s="19">
        <f>SUM(F200:K200)</f>
        <v>5500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1363780.29</v>
      </c>
      <c r="G202" s="18">
        <v>796707.21373889397</v>
      </c>
      <c r="H202" s="18">
        <v>550692.98</v>
      </c>
      <c r="I202" s="18">
        <v>10969.55</v>
      </c>
      <c r="J202" s="18"/>
      <c r="K202" s="18">
        <v>0</v>
      </c>
      <c r="L202" s="19">
        <f t="shared" ref="L202:L208" si="0">SUM(F202:K202)</f>
        <v>2722150.0337388939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424602.38</v>
      </c>
      <c r="G203" s="18">
        <v>248048.59081568269</v>
      </c>
      <c r="H203" s="18">
        <v>4533.1499999999996</v>
      </c>
      <c r="I203" s="18">
        <v>89969.78</v>
      </c>
      <c r="J203" s="18">
        <v>10871.18</v>
      </c>
      <c r="K203" s="18">
        <v>542</v>
      </c>
      <c r="L203" s="19">
        <f t="shared" si="0"/>
        <v>778567.08081568277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423177.93</v>
      </c>
      <c r="G204" s="18">
        <v>247216.44094599187</v>
      </c>
      <c r="H204" s="18">
        <v>160009.26</v>
      </c>
      <c r="I204" s="18">
        <v>14232.81</v>
      </c>
      <c r="J204" s="18">
        <v>7909.12</v>
      </c>
      <c r="K204" s="18">
        <v>10801.15</v>
      </c>
      <c r="L204" s="19">
        <f t="shared" si="0"/>
        <v>863346.71094599192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1089213.96</v>
      </c>
      <c r="G205" s="18">
        <v>636308.22765234939</v>
      </c>
      <c r="H205" s="18">
        <v>78176.97</v>
      </c>
      <c r="I205" s="18">
        <v>10831.86</v>
      </c>
      <c r="J205" s="18">
        <v>0</v>
      </c>
      <c r="K205" s="18">
        <v>8087.79</v>
      </c>
      <c r="L205" s="19">
        <f t="shared" si="0"/>
        <v>1822618.8076523496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142413.54</v>
      </c>
      <c r="G206" s="18">
        <v>83196.608342310428</v>
      </c>
      <c r="H206" s="18">
        <v>67038.37</v>
      </c>
      <c r="I206" s="18">
        <v>0</v>
      </c>
      <c r="J206" s="18">
        <v>0</v>
      </c>
      <c r="K206" s="18">
        <v>3720.75</v>
      </c>
      <c r="L206" s="19">
        <f t="shared" si="0"/>
        <v>296369.26834231045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895153.09</v>
      </c>
      <c r="G207" s="18">
        <v>522939.75021714182</v>
      </c>
      <c r="H207" s="18">
        <v>384168.86</v>
      </c>
      <c r="I207" s="18">
        <v>450642.33</v>
      </c>
      <c r="J207" s="18">
        <v>23383.54</v>
      </c>
      <c r="K207" s="18">
        <v>0</v>
      </c>
      <c r="L207" s="19">
        <f t="shared" si="0"/>
        <v>2276287.5702171419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25058.21</v>
      </c>
      <c r="G208" s="18">
        <v>14638.763162051629</v>
      </c>
      <c r="H208" s="18">
        <f>1453728.52+3082.49</f>
        <v>1456811.01</v>
      </c>
      <c r="I208" s="18">
        <v>0</v>
      </c>
      <c r="J208" s="18">
        <v>0</v>
      </c>
      <c r="K208" s="18">
        <v>0</v>
      </c>
      <c r="L208" s="19">
        <f t="shared" si="0"/>
        <v>1496507.9831620515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49705.5</v>
      </c>
      <c r="G209" s="18">
        <v>29037.470846934288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78742.970846934288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15584999.690000001</v>
      </c>
      <c r="G211" s="41">
        <f t="shared" si="1"/>
        <v>9104605.6099999994</v>
      </c>
      <c r="H211" s="41">
        <f t="shared" si="1"/>
        <v>4009477.3100000005</v>
      </c>
      <c r="I211" s="41">
        <f t="shared" si="1"/>
        <v>892885.4</v>
      </c>
      <c r="J211" s="41">
        <f t="shared" si="1"/>
        <v>206134.88999999998</v>
      </c>
      <c r="K211" s="41">
        <f t="shared" si="1"/>
        <v>23151.69</v>
      </c>
      <c r="L211" s="41">
        <f t="shared" si="1"/>
        <v>29821254.590000004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2605297.56</v>
      </c>
      <c r="G215" s="18">
        <v>1466483.8566782505</v>
      </c>
      <c r="H215" s="18">
        <v>19079.099999999999</v>
      </c>
      <c r="I215" s="18">
        <v>77043.7</v>
      </c>
      <c r="J215" s="18">
        <v>77553.59</v>
      </c>
      <c r="K215" s="18">
        <v>0</v>
      </c>
      <c r="L215" s="19">
        <f>SUM(F215:K215)</f>
        <v>4245457.8066782514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1250892.6000000001</v>
      </c>
      <c r="G216" s="18">
        <v>704109.13229361956</v>
      </c>
      <c r="H216" s="18">
        <v>641736.6</v>
      </c>
      <c r="I216" s="18">
        <v>929.14</v>
      </c>
      <c r="J216" s="18">
        <v>0</v>
      </c>
      <c r="K216" s="18">
        <v>0</v>
      </c>
      <c r="L216" s="19">
        <f>SUM(F216:K216)</f>
        <v>2597667.47229362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>
        <v>0</v>
      </c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41815</v>
      </c>
      <c r="G218" s="18">
        <v>23537.051355853971</v>
      </c>
      <c r="H218" s="18">
        <v>7395</v>
      </c>
      <c r="I218" s="18">
        <v>7353.39</v>
      </c>
      <c r="J218" s="18">
        <v>0</v>
      </c>
      <c r="K218" s="18">
        <v>0</v>
      </c>
      <c r="L218" s="19">
        <f>SUM(F218:K218)</f>
        <v>80100.441355853967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379650.55</v>
      </c>
      <c r="G220" s="18">
        <v>213699.73676021057</v>
      </c>
      <c r="H220" s="18">
        <v>289349.88</v>
      </c>
      <c r="I220" s="18">
        <v>620.27</v>
      </c>
      <c r="J220" s="18">
        <v>0</v>
      </c>
      <c r="K220" s="18">
        <v>0</v>
      </c>
      <c r="L220" s="19">
        <f t="shared" ref="L220:L226" si="2">SUM(F220:K220)</f>
        <v>883320.43676021055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135872.76</v>
      </c>
      <c r="G221" s="18">
        <v>76480.787516001947</v>
      </c>
      <c r="H221" s="18">
        <v>1450.61</v>
      </c>
      <c r="I221" s="18">
        <v>28790.33</v>
      </c>
      <c r="J221" s="18">
        <v>3478.78</v>
      </c>
      <c r="K221" s="18">
        <v>173.44</v>
      </c>
      <c r="L221" s="19">
        <f t="shared" si="2"/>
        <v>246246.70751600197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135416.94</v>
      </c>
      <c r="G222" s="18">
        <v>76224.213110907483</v>
      </c>
      <c r="H222" s="18">
        <v>51202.96</v>
      </c>
      <c r="I222" s="18">
        <v>4554.5</v>
      </c>
      <c r="J222" s="18">
        <v>2530.92</v>
      </c>
      <c r="K222" s="18">
        <v>3456.37</v>
      </c>
      <c r="L222" s="19">
        <f t="shared" si="2"/>
        <v>273385.90311090747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252146.23</v>
      </c>
      <c r="G223" s="18">
        <v>141929.42161174142</v>
      </c>
      <c r="H223" s="18">
        <v>25838.37</v>
      </c>
      <c r="I223" s="18">
        <v>5178.45</v>
      </c>
      <c r="J223" s="18">
        <v>0</v>
      </c>
      <c r="K223" s="18">
        <v>3703.3</v>
      </c>
      <c r="L223" s="19">
        <f t="shared" si="2"/>
        <v>428795.77161174139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53964.21</v>
      </c>
      <c r="G224" s="18">
        <v>30375.663808396232</v>
      </c>
      <c r="H224" s="18">
        <v>21452.28</v>
      </c>
      <c r="I224" s="18">
        <v>0</v>
      </c>
      <c r="J224" s="18">
        <v>0</v>
      </c>
      <c r="K224" s="18">
        <v>1190.6400000000001</v>
      </c>
      <c r="L224" s="19">
        <f t="shared" si="2"/>
        <v>106982.79380839622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296982.76</v>
      </c>
      <c r="G225" s="18">
        <v>167167.24797138001</v>
      </c>
      <c r="H225" s="18">
        <v>123312.49</v>
      </c>
      <c r="I225" s="18">
        <v>206289.35</v>
      </c>
      <c r="J225" s="18">
        <v>7482.73</v>
      </c>
      <c r="K225" s="18">
        <v>0</v>
      </c>
      <c r="L225" s="19">
        <f t="shared" si="2"/>
        <v>801234.57797137997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8018.63</v>
      </c>
      <c r="G226" s="18">
        <v>4513.569439521496</v>
      </c>
      <c r="H226" s="18">
        <v>435314.2</v>
      </c>
      <c r="I226" s="18">
        <v>0</v>
      </c>
      <c r="J226" s="18">
        <v>0</v>
      </c>
      <c r="K226" s="18">
        <v>0</v>
      </c>
      <c r="L226" s="19">
        <f t="shared" si="2"/>
        <v>447846.39943952148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15905.76</v>
      </c>
      <c r="G227" s="18">
        <v>8953.1194541166533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24858.879454116654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5175963</v>
      </c>
      <c r="G229" s="41">
        <f>SUM(G215:G228)</f>
        <v>2913473.8000000003</v>
      </c>
      <c r="H229" s="41">
        <f>SUM(H215:H228)</f>
        <v>1616131.4899999998</v>
      </c>
      <c r="I229" s="41">
        <f>SUM(I215:I228)</f>
        <v>330759.13</v>
      </c>
      <c r="J229" s="41">
        <f>SUM(J215:J228)</f>
        <v>91046.01999999999</v>
      </c>
      <c r="K229" s="41">
        <f t="shared" si="3"/>
        <v>8523.75</v>
      </c>
      <c r="L229" s="41">
        <f t="shared" si="3"/>
        <v>10135897.190000001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5436104.8200000003</v>
      </c>
      <c r="G233" s="18">
        <v>3395239.5185810118</v>
      </c>
      <c r="H233" s="18">
        <v>108194.25</v>
      </c>
      <c r="I233" s="18">
        <v>230708.23</v>
      </c>
      <c r="J233" s="18">
        <v>116539.15</v>
      </c>
      <c r="K233" s="18">
        <v>0</v>
      </c>
      <c r="L233" s="19">
        <f>SUM(F233:K233)</f>
        <v>9286785.9685810134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1815992.31</v>
      </c>
      <c r="G234" s="18">
        <v>1134218.1691690078</v>
      </c>
      <c r="H234" s="18">
        <v>2326636.56</v>
      </c>
      <c r="I234" s="18">
        <v>1974.42</v>
      </c>
      <c r="J234" s="18">
        <v>0</v>
      </c>
      <c r="K234" s="18">
        <v>0</v>
      </c>
      <c r="L234" s="19">
        <f>SUM(F234:K234)</f>
        <v>5278821.4591690078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>
        <v>0</v>
      </c>
      <c r="H235" s="18">
        <v>3344.29</v>
      </c>
      <c r="I235" s="18"/>
      <c r="J235" s="18"/>
      <c r="K235" s="18"/>
      <c r="L235" s="19">
        <f>SUM(F235:K235)</f>
        <v>3344.29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350136.4</v>
      </c>
      <c r="G236" s="18">
        <v>218685.43406300404</v>
      </c>
      <c r="H236" s="18">
        <v>69249.740000000005</v>
      </c>
      <c r="I236" s="18">
        <v>76629.89</v>
      </c>
      <c r="J236" s="18">
        <v>18788.84</v>
      </c>
      <c r="K236" s="18">
        <v>18990</v>
      </c>
      <c r="L236" s="19">
        <f>SUM(F236:K236)</f>
        <v>752480.30406300398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599439.77</v>
      </c>
      <c r="G238" s="18">
        <v>374393.36869025131</v>
      </c>
      <c r="H238" s="18">
        <v>287265.91999999998</v>
      </c>
      <c r="I238" s="18">
        <v>2491.73</v>
      </c>
      <c r="J238" s="18">
        <v>0</v>
      </c>
      <c r="K238" s="18">
        <v>0</v>
      </c>
      <c r="L238" s="19">
        <f t="shared" ref="L238:L244" si="4">SUM(F238:K238)</f>
        <v>1263590.7886902513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288729.62</v>
      </c>
      <c r="G239" s="18">
        <v>180332.47122134748</v>
      </c>
      <c r="H239" s="18"/>
      <c r="I239" s="18">
        <v>61179.45</v>
      </c>
      <c r="J239" s="18">
        <v>7392.4</v>
      </c>
      <c r="K239" s="18">
        <v>368.56</v>
      </c>
      <c r="L239" s="19">
        <f t="shared" si="4"/>
        <v>538002.50122134748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287760.99</v>
      </c>
      <c r="G240" s="18">
        <v>179727.49192757384</v>
      </c>
      <c r="H240" s="18">
        <v>108806.29</v>
      </c>
      <c r="I240" s="18">
        <v>9678.31</v>
      </c>
      <c r="J240" s="18">
        <v>5378.2</v>
      </c>
      <c r="K240" s="18">
        <v>7344.78</v>
      </c>
      <c r="L240" s="19">
        <f t="shared" si="4"/>
        <v>598696.06192757387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480279.14</v>
      </c>
      <c r="G241" s="18">
        <v>299968.96124569245</v>
      </c>
      <c r="H241" s="18">
        <v>46938.48</v>
      </c>
      <c r="I241" s="18">
        <v>9648.2199999999993</v>
      </c>
      <c r="J241" s="18">
        <v>4197.53</v>
      </c>
      <c r="K241" s="18">
        <v>38000.57</v>
      </c>
      <c r="L241" s="19">
        <f t="shared" si="4"/>
        <v>879032.9012456924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114536.71</v>
      </c>
      <c r="G242" s="18">
        <v>71536.435921824799</v>
      </c>
      <c r="H242" s="18">
        <v>45586.09</v>
      </c>
      <c r="I242" s="18">
        <v>0</v>
      </c>
      <c r="J242" s="18">
        <v>0</v>
      </c>
      <c r="K242" s="18">
        <v>2530.11</v>
      </c>
      <c r="L242" s="19">
        <f t="shared" si="4"/>
        <v>234189.34592182477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488778.04</v>
      </c>
      <c r="G243" s="18">
        <v>305277.13724669686</v>
      </c>
      <c r="H243" s="18">
        <v>269357.12</v>
      </c>
      <c r="I243" s="18">
        <v>304435.45</v>
      </c>
      <c r="J243" s="18">
        <v>15900.8</v>
      </c>
      <c r="K243" s="18">
        <v>0</v>
      </c>
      <c r="L243" s="19">
        <f t="shared" si="4"/>
        <v>1383748.5472466969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17039.580000000002</v>
      </c>
      <c r="G244" s="18">
        <v>10642.446625233146</v>
      </c>
      <c r="H244" s="18">
        <v>1391320.69</v>
      </c>
      <c r="I244" s="18">
        <v>0</v>
      </c>
      <c r="J244" s="18">
        <v>0</v>
      </c>
      <c r="K244" s="18">
        <v>0</v>
      </c>
      <c r="L244" s="19">
        <f t="shared" si="4"/>
        <v>1419002.7166252332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33799.74</v>
      </c>
      <c r="G245" s="18">
        <v>21110.375308356055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54910.115308356049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9912597.120000001</v>
      </c>
      <c r="G247" s="41">
        <f t="shared" si="5"/>
        <v>6191131.8099999987</v>
      </c>
      <c r="H247" s="41">
        <f t="shared" si="5"/>
        <v>4656699.43</v>
      </c>
      <c r="I247" s="41">
        <f t="shared" si="5"/>
        <v>696745.7</v>
      </c>
      <c r="J247" s="41">
        <f t="shared" si="5"/>
        <v>168196.91999999998</v>
      </c>
      <c r="K247" s="41">
        <f t="shared" si="5"/>
        <v>67234.02</v>
      </c>
      <c r="L247" s="41">
        <f t="shared" si="5"/>
        <v>21692605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4954.3</v>
      </c>
      <c r="G251" s="18">
        <v>1012.53</v>
      </c>
      <c r="H251" s="18"/>
      <c r="I251" s="4"/>
      <c r="J251" s="18"/>
      <c r="K251" s="18"/>
      <c r="L251" s="19">
        <f t="shared" si="6"/>
        <v>5966.83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1445736.11-54348.62</f>
        <v>1391387.49</v>
      </c>
      <c r="I255" s="18"/>
      <c r="J255" s="18"/>
      <c r="K255" s="18"/>
      <c r="L255" s="19">
        <f t="shared" si="6"/>
        <v>1391387.49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4954.3</v>
      </c>
      <c r="G256" s="41">
        <f t="shared" si="7"/>
        <v>1012.53</v>
      </c>
      <c r="H256" s="41">
        <f t="shared" si="7"/>
        <v>1391387.49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1397354.32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30678514.110000003</v>
      </c>
      <c r="G257" s="41">
        <f t="shared" si="8"/>
        <v>18210223.75</v>
      </c>
      <c r="H257" s="41">
        <f t="shared" si="8"/>
        <v>11673695.720000001</v>
      </c>
      <c r="I257" s="41">
        <f t="shared" si="8"/>
        <v>1920390.23</v>
      </c>
      <c r="J257" s="41">
        <f t="shared" si="8"/>
        <v>465377.82999999996</v>
      </c>
      <c r="K257" s="41">
        <f t="shared" si="8"/>
        <v>98909.46</v>
      </c>
      <c r="L257" s="41">
        <f t="shared" si="8"/>
        <v>63047111.100000001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1070000</v>
      </c>
      <c r="L260" s="19">
        <f>SUM(F260:K260)</f>
        <v>1070000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354802.5</v>
      </c>
      <c r="L261" s="19">
        <f>SUM(F261:K261)</f>
        <v>354802.5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54348.62</v>
      </c>
      <c r="L266" s="19">
        <f t="shared" si="9"/>
        <v>54348.62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1479151.12</v>
      </c>
      <c r="L270" s="41">
        <f t="shared" si="9"/>
        <v>1479151.12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30678514.110000003</v>
      </c>
      <c r="G271" s="42">
        <f t="shared" si="11"/>
        <v>18210223.75</v>
      </c>
      <c r="H271" s="42">
        <f t="shared" si="11"/>
        <v>11673695.720000001</v>
      </c>
      <c r="I271" s="42">
        <f t="shared" si="11"/>
        <v>1920390.23</v>
      </c>
      <c r="J271" s="42">
        <f t="shared" si="11"/>
        <v>465377.82999999996</v>
      </c>
      <c r="K271" s="42">
        <f t="shared" si="11"/>
        <v>1578060.58</v>
      </c>
      <c r="L271" s="42">
        <f t="shared" si="11"/>
        <v>64526262.219999999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9828.49</v>
      </c>
      <c r="J276" s="18"/>
      <c r="K276" s="18"/>
      <c r="L276" s="19">
        <f>SUM(F276:K276)</f>
        <v>9828.49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465961.02</v>
      </c>
      <c r="G277" s="18">
        <v>12119.77</v>
      </c>
      <c r="H277" s="18">
        <v>69674.95</v>
      </c>
      <c r="I277" s="18"/>
      <c r="J277" s="18"/>
      <c r="K277" s="18"/>
      <c r="L277" s="19">
        <f>SUM(F277:K277)</f>
        <v>547755.74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140657.6+206444.06</f>
        <v>347101.66000000003</v>
      </c>
      <c r="I281" s="18"/>
      <c r="J281" s="18"/>
      <c r="K281" s="18"/>
      <c r="L281" s="19">
        <f t="shared" ref="L281:L287" si="12">SUM(F281:K281)</f>
        <v>347101.66000000003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>
        <v>158251.62</v>
      </c>
      <c r="J282" s="18"/>
      <c r="K282" s="18"/>
      <c r="L282" s="19">
        <f t="shared" si="12"/>
        <v>158251.62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>
        <v>5985</v>
      </c>
      <c r="J283" s="18"/>
      <c r="K283" s="18"/>
      <c r="L283" s="19">
        <f t="shared" si="12"/>
        <v>5985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>
        <v>1080</v>
      </c>
      <c r="I285" s="18"/>
      <c r="J285" s="18"/>
      <c r="K285" s="18"/>
      <c r="L285" s="19">
        <f t="shared" si="12"/>
        <v>1080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465961.02</v>
      </c>
      <c r="G290" s="42">
        <f t="shared" si="13"/>
        <v>12119.77</v>
      </c>
      <c r="H290" s="42">
        <f t="shared" si="13"/>
        <v>417856.61000000004</v>
      </c>
      <c r="I290" s="42">
        <f t="shared" si="13"/>
        <v>174065.11</v>
      </c>
      <c r="J290" s="42">
        <f t="shared" si="13"/>
        <v>0</v>
      </c>
      <c r="K290" s="42">
        <f t="shared" si="13"/>
        <v>0</v>
      </c>
      <c r="L290" s="41">
        <f t="shared" si="13"/>
        <v>1070002.51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67850.8</v>
      </c>
      <c r="G295" s="18">
        <v>43094.49</v>
      </c>
      <c r="H295" s="18"/>
      <c r="I295" s="18"/>
      <c r="J295" s="18"/>
      <c r="K295" s="18"/>
      <c r="L295" s="19">
        <f>SUM(F295:K295)</f>
        <v>110945.29000000001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100000</v>
      </c>
      <c r="I300" s="18"/>
      <c r="J300" s="18"/>
      <c r="K300" s="18"/>
      <c r="L300" s="19">
        <f t="shared" ref="L300:L306" si="14">SUM(F300:K300)</f>
        <v>100000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2467</v>
      </c>
      <c r="I301" s="18"/>
      <c r="J301" s="18"/>
      <c r="K301" s="18"/>
      <c r="L301" s="19">
        <f t="shared" si="14"/>
        <v>2467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15097.5</v>
      </c>
      <c r="I305" s="18"/>
      <c r="J305" s="18"/>
      <c r="K305" s="18"/>
      <c r="L305" s="19">
        <f t="shared" si="14"/>
        <v>15097.5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2500</v>
      </c>
      <c r="I306" s="18"/>
      <c r="J306" s="18"/>
      <c r="K306" s="18"/>
      <c r="L306" s="19">
        <f t="shared" si="14"/>
        <v>2500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67850.8</v>
      </c>
      <c r="G309" s="42">
        <f t="shared" si="15"/>
        <v>43094.49</v>
      </c>
      <c r="H309" s="42">
        <f t="shared" si="15"/>
        <v>120064.5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231009.79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37898.61</v>
      </c>
      <c r="I315" s="18">
        <v>7432.17</v>
      </c>
      <c r="J315" s="18"/>
      <c r="K315" s="18"/>
      <c r="L315" s="19">
        <f>SUM(F315:K315)</f>
        <v>45330.78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30000</v>
      </c>
      <c r="I319" s="18"/>
      <c r="J319" s="18"/>
      <c r="K319" s="18"/>
      <c r="L319" s="19">
        <f t="shared" ref="L319:L325" si="16">SUM(F319:K319)</f>
        <v>30000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67898.61</v>
      </c>
      <c r="I328" s="42">
        <f t="shared" si="17"/>
        <v>7432.17</v>
      </c>
      <c r="J328" s="42">
        <f t="shared" si="17"/>
        <v>0</v>
      </c>
      <c r="K328" s="42">
        <f t="shared" si="17"/>
        <v>0</v>
      </c>
      <c r="L328" s="41">
        <f t="shared" si="17"/>
        <v>75330.78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533811.82000000007</v>
      </c>
      <c r="G338" s="41">
        <f t="shared" si="20"/>
        <v>55214.259999999995</v>
      </c>
      <c r="H338" s="41">
        <f t="shared" si="20"/>
        <v>605819.72000000009</v>
      </c>
      <c r="I338" s="41">
        <f t="shared" si="20"/>
        <v>181497.28</v>
      </c>
      <c r="J338" s="41">
        <f t="shared" si="20"/>
        <v>0</v>
      </c>
      <c r="K338" s="41">
        <f t="shared" si="20"/>
        <v>0</v>
      </c>
      <c r="L338" s="41">
        <f t="shared" si="20"/>
        <v>1376343.08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533811.82000000007</v>
      </c>
      <c r="G352" s="41">
        <f>G338</f>
        <v>55214.259999999995</v>
      </c>
      <c r="H352" s="41">
        <f>H338</f>
        <v>605819.72000000009</v>
      </c>
      <c r="I352" s="41">
        <f>I338</f>
        <v>181497.28</v>
      </c>
      <c r="J352" s="41">
        <f>J338</f>
        <v>0</v>
      </c>
      <c r="K352" s="47">
        <f>K338+K351</f>
        <v>0</v>
      </c>
      <c r="L352" s="41">
        <f>L338+L351</f>
        <v>1376343.08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262663.17</v>
      </c>
      <c r="G358" s="18"/>
      <c r="H358" s="18">
        <v>8095.07</v>
      </c>
      <c r="I358" s="18">
        <v>280742.78999999998</v>
      </c>
      <c r="J358" s="18">
        <v>10227.5</v>
      </c>
      <c r="K358" s="18">
        <v>92.5</v>
      </c>
      <c r="L358" s="13">
        <f>SUM(F358:K358)</f>
        <v>561821.03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110210.1</v>
      </c>
      <c r="G359" s="18"/>
      <c r="H359" s="18">
        <v>2590.42</v>
      </c>
      <c r="I359" s="18">
        <v>89837.69</v>
      </c>
      <c r="J359" s="18">
        <v>3272.8</v>
      </c>
      <c r="K359" s="18">
        <v>29.6</v>
      </c>
      <c r="L359" s="19">
        <f>SUM(F359:K359)</f>
        <v>205940.61000000002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234376.54</v>
      </c>
      <c r="G360" s="18"/>
      <c r="H360" s="18">
        <v>5504.65</v>
      </c>
      <c r="I360" s="18">
        <v>190905.1</v>
      </c>
      <c r="J360" s="18">
        <v>6954.7</v>
      </c>
      <c r="K360" s="18">
        <v>62.9</v>
      </c>
      <c r="L360" s="19">
        <f>SUM(F360:K360)</f>
        <v>437803.89000000007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607249.81000000006</v>
      </c>
      <c r="G362" s="47">
        <f t="shared" si="22"/>
        <v>0</v>
      </c>
      <c r="H362" s="47">
        <f t="shared" si="22"/>
        <v>16190.14</v>
      </c>
      <c r="I362" s="47">
        <f t="shared" si="22"/>
        <v>561485.57999999996</v>
      </c>
      <c r="J362" s="47">
        <f t="shared" si="22"/>
        <v>20455</v>
      </c>
      <c r="K362" s="47">
        <f t="shared" si="22"/>
        <v>185</v>
      </c>
      <c r="L362" s="47">
        <f t="shared" si="22"/>
        <v>1205565.53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250885.79</v>
      </c>
      <c r="G367" s="18">
        <v>80283.45</v>
      </c>
      <c r="H367" s="18">
        <v>170602.34</v>
      </c>
      <c r="I367" s="56">
        <f>SUM(F367:H367)</f>
        <v>501771.57999999996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29857</v>
      </c>
      <c r="G368" s="63">
        <v>9554.24</v>
      </c>
      <c r="H368" s="63">
        <v>20302.759999999998</v>
      </c>
      <c r="I368" s="56">
        <f>SUM(F368:H368)</f>
        <v>59714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280742.79000000004</v>
      </c>
      <c r="G369" s="47">
        <f>SUM(G367:G368)</f>
        <v>89837.69</v>
      </c>
      <c r="H369" s="47">
        <f>SUM(H367:H368)</f>
        <v>190905.1</v>
      </c>
      <c r="I369" s="47">
        <f>SUM(I367:I368)</f>
        <v>561485.57999999996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4">
        <v>54348.62</v>
      </c>
      <c r="H396" s="18">
        <v>-10.199999999999999</v>
      </c>
      <c r="I396" s="18"/>
      <c r="J396" s="24" t="s">
        <v>289</v>
      </c>
      <c r="K396" s="24" t="s">
        <v>289</v>
      </c>
      <c r="L396" s="56">
        <f>SUM(F396:K396)</f>
        <v>54338.420000000006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f>486.19</f>
        <v>486.19</v>
      </c>
      <c r="I397" s="18"/>
      <c r="J397" s="24" t="s">
        <v>289</v>
      </c>
      <c r="K397" s="24" t="s">
        <v>289</v>
      </c>
      <c r="L397" s="56">
        <f t="shared" si="26"/>
        <v>486.19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f>86.62</f>
        <v>86.62</v>
      </c>
      <c r="I398" s="18"/>
      <c r="J398" s="24" t="s">
        <v>289</v>
      </c>
      <c r="K398" s="24" t="s">
        <v>289</v>
      </c>
      <c r="L398" s="56">
        <f t="shared" si="26"/>
        <v>86.62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54348.62</v>
      </c>
      <c r="H401" s="47">
        <f>SUM(H395:H400)</f>
        <v>562.61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54911.23000000001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54348.62</v>
      </c>
      <c r="H408" s="47">
        <f>H393+H401+H407</f>
        <v>562.61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54911.23000000001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725027</v>
      </c>
      <c r="G440" s="18"/>
      <c r="H440" s="18"/>
      <c r="I440" s="56">
        <f t="shared" si="33"/>
        <v>725027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725027</v>
      </c>
      <c r="G446" s="13">
        <f>SUM(G439:G445)</f>
        <v>0</v>
      </c>
      <c r="H446" s="13">
        <f>SUM(H439:H445)</f>
        <v>0</v>
      </c>
      <c r="I446" s="13">
        <f>SUM(I439:I445)</f>
        <v>725027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725027</v>
      </c>
      <c r="G459" s="18"/>
      <c r="H459" s="18"/>
      <c r="I459" s="56">
        <f t="shared" si="34"/>
        <v>725027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725027</v>
      </c>
      <c r="G460" s="83">
        <f>SUM(G454:G459)</f>
        <v>0</v>
      </c>
      <c r="H460" s="83">
        <f>SUM(H454:H459)</f>
        <v>0</v>
      </c>
      <c r="I460" s="83">
        <f>SUM(I454:I459)</f>
        <v>725027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725027</v>
      </c>
      <c r="G461" s="42">
        <f>G452+G460</f>
        <v>0</v>
      </c>
      <c r="H461" s="42">
        <f>H452+H460</f>
        <v>0</v>
      </c>
      <c r="I461" s="42">
        <f>I452+I460</f>
        <v>725027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4473165.31+992536</f>
        <v>5465701.3099999996</v>
      </c>
      <c r="G465" s="18">
        <f>69846+65+110857-64.35</f>
        <v>180703.65</v>
      </c>
      <c r="H465" s="18"/>
      <c r="I465" s="18"/>
      <c r="J465" s="18">
        <v>670115.77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65050835.909999996</v>
      </c>
      <c r="G468" s="18">
        <v>1135718.8799999999</v>
      </c>
      <c r="H468" s="18">
        <v>1376343.08</v>
      </c>
      <c r="I468" s="18"/>
      <c r="J468" s="18">
        <v>54911.23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65050835.909999996</v>
      </c>
      <c r="G470" s="53">
        <f>SUM(G468:G469)</f>
        <v>1135718.8799999999</v>
      </c>
      <c r="H470" s="53">
        <f>SUM(H468:H469)</f>
        <v>1376343.08</v>
      </c>
      <c r="I470" s="53">
        <f>SUM(I468:I469)</f>
        <v>0</v>
      </c>
      <c r="J470" s="53">
        <f>SUM(J468:J469)</f>
        <v>54911.23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64526262.219999999</v>
      </c>
      <c r="G472" s="18">
        <v>1205565.53</v>
      </c>
      <c r="H472" s="18">
        <v>1376343.08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64526262.219999999</v>
      </c>
      <c r="G474" s="53">
        <f>SUM(G472:G473)</f>
        <v>1205565.53</v>
      </c>
      <c r="H474" s="53">
        <f>SUM(H472:H473)</f>
        <v>1376343.08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5990275</v>
      </c>
      <c r="G476" s="53">
        <f>(G465+G470)- G474</f>
        <v>110856.99999999977</v>
      </c>
      <c r="H476" s="53">
        <f>(H465+H470)- H474</f>
        <v>0</v>
      </c>
      <c r="I476" s="53">
        <f>(I465+I470)- I474</f>
        <v>0</v>
      </c>
      <c r="J476" s="53">
        <f>(J465+J470)- J474</f>
        <v>725027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12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 t="s">
        <v>916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 t="s">
        <v>917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5915851</v>
      </c>
      <c r="G493" s="18">
        <v>15525000</v>
      </c>
      <c r="H493" s="18">
        <v>3675816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5.31</v>
      </c>
      <c r="G494" s="18">
        <v>3.52</v>
      </c>
      <c r="H494" s="18">
        <v>4.4800000000000004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2065000-295000</f>
        <v>1770000</v>
      </c>
      <c r="G495" s="18">
        <f>7750000-775000</f>
        <v>6975000</v>
      </c>
      <c r="H495" s="18">
        <f>2204787-245382</f>
        <v>1959405</v>
      </c>
      <c r="I495" s="18"/>
      <c r="J495" s="18"/>
      <c r="K495" s="53">
        <f>SUM(F495:J495)</f>
        <v>10704405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295000</v>
      </c>
      <c r="G497" s="18">
        <v>775000</v>
      </c>
      <c r="H497" s="18">
        <v>245382</v>
      </c>
      <c r="I497" s="18"/>
      <c r="J497" s="18"/>
      <c r="K497" s="53">
        <f t="shared" si="35"/>
        <v>1315382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2065000-295000-235000</f>
        <v>1535000</v>
      </c>
      <c r="G498" s="204">
        <f>7750000-775000-775000</f>
        <v>6200000</v>
      </c>
      <c r="H498" s="204">
        <f>2204787-245787-245382</f>
        <v>1713618</v>
      </c>
      <c r="I498" s="204"/>
      <c r="J498" s="204"/>
      <c r="K498" s="205">
        <f t="shared" si="35"/>
        <v>9448618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1667223-1535000</f>
        <v>132223</v>
      </c>
      <c r="G499" s="18">
        <f>7300500-6200000</f>
        <v>1100500</v>
      </c>
      <c r="H499" s="18">
        <v>167641</v>
      </c>
      <c r="I499" s="18"/>
      <c r="J499" s="18"/>
      <c r="K499" s="53">
        <f t="shared" si="35"/>
        <v>1400364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1667223</v>
      </c>
      <c r="G500" s="42">
        <f>SUM(G498:G499)</f>
        <v>7300500</v>
      </c>
      <c r="H500" s="42">
        <f>SUM(H498:H499)</f>
        <v>1881259</v>
      </c>
      <c r="I500" s="42">
        <f>SUM(I498:I499)</f>
        <v>0</v>
      </c>
      <c r="J500" s="42">
        <f>SUM(J498:J499)</f>
        <v>0</v>
      </c>
      <c r="K500" s="42">
        <f t="shared" si="35"/>
        <v>10848982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295000</v>
      </c>
      <c r="G501" s="204">
        <v>775000</v>
      </c>
      <c r="H501" s="204">
        <v>245382</v>
      </c>
      <c r="I501" s="204"/>
      <c r="J501" s="204"/>
      <c r="K501" s="205">
        <f t="shared" si="35"/>
        <v>1315382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72573</v>
      </c>
      <c r="G502" s="18">
        <v>267375</v>
      </c>
      <c r="H502" s="18">
        <v>71354</v>
      </c>
      <c r="I502" s="18"/>
      <c r="J502" s="18"/>
      <c r="K502" s="53">
        <f t="shared" si="35"/>
        <v>411302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367573</v>
      </c>
      <c r="G503" s="42">
        <f>SUM(G501:G502)</f>
        <v>1042375</v>
      </c>
      <c r="H503" s="42">
        <f>SUM(H501:H502)</f>
        <v>316736</v>
      </c>
      <c r="I503" s="42">
        <f>SUM(I501:I502)</f>
        <v>0</v>
      </c>
      <c r="J503" s="42">
        <f>SUM(J501:J502)</f>
        <v>0</v>
      </c>
      <c r="K503" s="42">
        <f t="shared" si="35"/>
        <v>1726684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4570057.58</v>
      </c>
      <c r="G521" s="18">
        <v>2409693.1615563328</v>
      </c>
      <c r="H521" s="18">
        <v>1662061.9600000002</v>
      </c>
      <c r="I521" s="18">
        <v>192929.68</v>
      </c>
      <c r="J521" s="18"/>
      <c r="K521" s="18"/>
      <c r="L521" s="88">
        <f>SUM(F521:K521)</f>
        <v>8834742.381556334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1318743.4000000001</v>
      </c>
      <c r="G522" s="18">
        <v>747203.62229361956</v>
      </c>
      <c r="H522" s="18">
        <v>761801.1</v>
      </c>
      <c r="I522" s="18">
        <v>929.14</v>
      </c>
      <c r="J522" s="18"/>
      <c r="K522" s="18"/>
      <c r="L522" s="88">
        <f>SUM(F522:K522)</f>
        <v>2828677.26229362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1815992.31</v>
      </c>
      <c r="G523" s="18">
        <v>1134218.1691690078</v>
      </c>
      <c r="H523" s="18">
        <v>2394535.17</v>
      </c>
      <c r="I523" s="18">
        <v>9406.59</v>
      </c>
      <c r="J523" s="18"/>
      <c r="K523" s="18"/>
      <c r="L523" s="88">
        <f>SUM(F523:K523)</f>
        <v>5354152.2391690072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7704793.290000001</v>
      </c>
      <c r="G524" s="108">
        <f t="shared" ref="G524:L524" si="36">SUM(G521:G523)</f>
        <v>4291114.9530189596</v>
      </c>
      <c r="H524" s="108">
        <f t="shared" si="36"/>
        <v>4818398.2300000004</v>
      </c>
      <c r="I524" s="108">
        <f t="shared" si="36"/>
        <v>203265.41</v>
      </c>
      <c r="J524" s="108">
        <f t="shared" si="36"/>
        <v>0</v>
      </c>
      <c r="K524" s="108">
        <f t="shared" si="36"/>
        <v>0</v>
      </c>
      <c r="L524" s="89">
        <f t="shared" si="36"/>
        <v>17017571.883018963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1427402.2899999998</v>
      </c>
      <c r="I526" s="18">
        <v>20903.07</v>
      </c>
      <c r="J526" s="18"/>
      <c r="K526" s="18"/>
      <c r="L526" s="88">
        <f>SUM(F526:K526)</f>
        <v>1448305.3599999999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457227.14</v>
      </c>
      <c r="I527" s="18">
        <v>11612.82</v>
      </c>
      <c r="J527" s="18"/>
      <c r="K527" s="18"/>
      <c r="L527" s="88">
        <f>SUM(F527:K527)</f>
        <v>468839.96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343243.91000000003</v>
      </c>
      <c r="I528" s="18">
        <v>13935.38</v>
      </c>
      <c r="J528" s="18"/>
      <c r="K528" s="18"/>
      <c r="L528" s="88">
        <f>SUM(F528:K528)</f>
        <v>357179.29000000004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2227873.34</v>
      </c>
      <c r="I529" s="89">
        <f t="shared" si="37"/>
        <v>46451.27</v>
      </c>
      <c r="J529" s="89">
        <f t="shared" si="37"/>
        <v>0</v>
      </c>
      <c r="K529" s="89">
        <f t="shared" si="37"/>
        <v>0</v>
      </c>
      <c r="L529" s="89">
        <f t="shared" si="37"/>
        <v>2274324.61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78493.842000000004</v>
      </c>
      <c r="G531" s="18">
        <v>13562.23</v>
      </c>
      <c r="H531" s="18"/>
      <c r="I531" s="18"/>
      <c r="J531" s="18"/>
      <c r="K531" s="18"/>
      <c r="L531" s="88">
        <f>SUM(F531:K531)</f>
        <v>92056.072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43607.69</v>
      </c>
      <c r="G532" s="18">
        <v>7562.32</v>
      </c>
      <c r="H532" s="18"/>
      <c r="I532" s="18"/>
      <c r="J532" s="18"/>
      <c r="K532" s="18"/>
      <c r="L532" s="88">
        <f>SUM(F532:K532)</f>
        <v>51170.01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52329.227999999996</v>
      </c>
      <c r="G533" s="18">
        <v>8515.2199999999993</v>
      </c>
      <c r="H533" s="18"/>
      <c r="I533" s="18"/>
      <c r="J533" s="18"/>
      <c r="K533" s="18"/>
      <c r="L533" s="88">
        <f>SUM(F533:K533)</f>
        <v>60844.447999999997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174430.76</v>
      </c>
      <c r="G534" s="89">
        <f t="shared" ref="G534:L534" si="38">SUM(G531:G533)</f>
        <v>29639.769999999997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204070.53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2563.23</v>
      </c>
      <c r="I536" s="18"/>
      <c r="J536" s="18"/>
      <c r="K536" s="18"/>
      <c r="L536" s="88">
        <f>SUM(F536:K536)</f>
        <v>2563.23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3250.11</v>
      </c>
      <c r="I537" s="18"/>
      <c r="J537" s="18"/>
      <c r="K537" s="18"/>
      <c r="L537" s="88">
        <f>SUM(F537:K537)</f>
        <v>3250.11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875.22</v>
      </c>
      <c r="I538" s="18"/>
      <c r="J538" s="18"/>
      <c r="K538" s="18"/>
      <c r="L538" s="88">
        <f>SUM(F538:K538)</f>
        <v>875.22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6688.56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6688.56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365110.07</v>
      </c>
      <c r="I541" s="18"/>
      <c r="J541" s="18"/>
      <c r="K541" s="18"/>
      <c r="L541" s="88">
        <f>SUM(F541:K541)</f>
        <v>365110.07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83419.78</v>
      </c>
      <c r="I542" s="18"/>
      <c r="J542" s="18"/>
      <c r="K542" s="18"/>
      <c r="L542" s="88">
        <f>SUM(F542:K542)</f>
        <v>83419.78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401749.83</v>
      </c>
      <c r="I543" s="18"/>
      <c r="J543" s="18"/>
      <c r="K543" s="18"/>
      <c r="L543" s="88">
        <f>SUM(F543:K543)</f>
        <v>401749.83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850279.67999999993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850279.67999999993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7879224.0500000007</v>
      </c>
      <c r="G545" s="89">
        <f t="shared" ref="G545:L545" si="41">G524+G529+G534+G539+G544</f>
        <v>4320754.7230189592</v>
      </c>
      <c r="H545" s="89">
        <f t="shared" si="41"/>
        <v>7903239.8099999996</v>
      </c>
      <c r="I545" s="89">
        <f t="shared" si="41"/>
        <v>249716.68</v>
      </c>
      <c r="J545" s="89">
        <f t="shared" si="41"/>
        <v>0</v>
      </c>
      <c r="K545" s="89">
        <f t="shared" si="41"/>
        <v>0</v>
      </c>
      <c r="L545" s="89">
        <f t="shared" si="41"/>
        <v>20352935.263018962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8834742.381556334</v>
      </c>
      <c r="G549" s="87">
        <f>L526</f>
        <v>1448305.3599999999</v>
      </c>
      <c r="H549" s="87">
        <f>L531</f>
        <v>92056.072</v>
      </c>
      <c r="I549" s="87">
        <f>L536</f>
        <v>2563.23</v>
      </c>
      <c r="J549" s="87">
        <f>L541</f>
        <v>365110.07</v>
      </c>
      <c r="K549" s="87">
        <f>SUM(F549:J549)</f>
        <v>10742777.113556335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2828677.26229362</v>
      </c>
      <c r="G550" s="87">
        <f>L527</f>
        <v>468839.96</v>
      </c>
      <c r="H550" s="87">
        <f>L532</f>
        <v>51170.01</v>
      </c>
      <c r="I550" s="87">
        <f>L537</f>
        <v>3250.11</v>
      </c>
      <c r="J550" s="87">
        <f>L542</f>
        <v>83419.78</v>
      </c>
      <c r="K550" s="87">
        <f>SUM(F550:J550)</f>
        <v>3435357.1222936194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5354152.2391690072</v>
      </c>
      <c r="G551" s="87">
        <f>L528</f>
        <v>357179.29000000004</v>
      </c>
      <c r="H551" s="87">
        <f>L533</f>
        <v>60844.447999999997</v>
      </c>
      <c r="I551" s="87">
        <f>L538</f>
        <v>875.22</v>
      </c>
      <c r="J551" s="87">
        <f>L543</f>
        <v>401749.83</v>
      </c>
      <c r="K551" s="87">
        <f>SUM(F551:J551)</f>
        <v>6174801.0271690069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17017571.883018963</v>
      </c>
      <c r="G552" s="89">
        <f t="shared" si="42"/>
        <v>2274324.61</v>
      </c>
      <c r="H552" s="89">
        <f t="shared" si="42"/>
        <v>204070.53</v>
      </c>
      <c r="I552" s="89">
        <f t="shared" si="42"/>
        <v>6688.56</v>
      </c>
      <c r="J552" s="89">
        <f t="shared" si="42"/>
        <v>850279.67999999993</v>
      </c>
      <c r="K552" s="89">
        <f t="shared" si="42"/>
        <v>20352935.263018962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94095.6</v>
      </c>
      <c r="G567" s="18">
        <v>12563.32</v>
      </c>
      <c r="H567" s="18"/>
      <c r="I567" s="18"/>
      <c r="J567" s="18"/>
      <c r="K567" s="18"/>
      <c r="L567" s="88">
        <f>SUM(F567:K567)</f>
        <v>106658.92000000001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52091.24</v>
      </c>
      <c r="G568" s="18">
        <v>14563.35</v>
      </c>
      <c r="H568" s="18"/>
      <c r="I568" s="18"/>
      <c r="J568" s="18"/>
      <c r="K568" s="18"/>
      <c r="L568" s="88">
        <f>SUM(F568:K568)</f>
        <v>66654.59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74083.959999999992</v>
      </c>
      <c r="G569" s="18">
        <v>22316.23</v>
      </c>
      <c r="H569" s="18"/>
      <c r="I569" s="18"/>
      <c r="J569" s="18"/>
      <c r="K569" s="18"/>
      <c r="L569" s="88">
        <f>SUM(F569:K569)</f>
        <v>96400.189999999988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220270.8</v>
      </c>
      <c r="G570" s="193">
        <f t="shared" ref="G570:L570" si="45">SUM(G567:G569)</f>
        <v>49442.899999999994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269713.7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220270.8</v>
      </c>
      <c r="G571" s="89">
        <f t="shared" ref="G571:L571" si="46">G560+G565+G570</f>
        <v>49442.899999999994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269713.7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11658.92</v>
      </c>
      <c r="G575" s="18"/>
      <c r="H575" s="18"/>
      <c r="I575" s="87">
        <f>SUM(F575:H575)</f>
        <v>11658.92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209610+472379.33</f>
        <v>681989.33000000007</v>
      </c>
      <c r="G582" s="18">
        <f>176397.9+288424.72</f>
        <v>464822.62</v>
      </c>
      <c r="H582" s="18">
        <f>885951.9+1055004.37</f>
        <v>1940956.27</v>
      </c>
      <c r="I582" s="87">
        <f t="shared" si="47"/>
        <v>3087768.22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33444.29</v>
      </c>
      <c r="I584" s="87">
        <f t="shared" si="47"/>
        <v>33444.29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1496507.98-365110.07-33524.94</f>
        <v>1097872.97</v>
      </c>
      <c r="I591" s="18">
        <f>447846.4-83419.78-13309.11-1344.84</f>
        <v>349772.67</v>
      </c>
      <c r="J591" s="18">
        <f>1419002.72-401749.83-146821.61-80093.2-48520.06</f>
        <v>741818.02</v>
      </c>
      <c r="K591" s="104">
        <f t="shared" ref="K591:K597" si="48">SUM(H591:J591)</f>
        <v>2189463.66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365110.07</v>
      </c>
      <c r="I592" s="18">
        <v>83419.78</v>
      </c>
      <c r="J592" s="18">
        <v>401749.83</v>
      </c>
      <c r="K592" s="104">
        <f t="shared" si="48"/>
        <v>850279.67999999993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144321.61+2500</f>
        <v>146821.60999999999</v>
      </c>
      <c r="K593" s="104">
        <f t="shared" si="48"/>
        <v>146821.60999999999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13309.11</v>
      </c>
      <c r="J594" s="18">
        <v>80093.2</v>
      </c>
      <c r="K594" s="104">
        <f t="shared" si="48"/>
        <v>93402.31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33524.94</v>
      </c>
      <c r="I595" s="18">
        <v>1344.84</v>
      </c>
      <c r="J595" s="18">
        <v>48520.05999999999</v>
      </c>
      <c r="K595" s="104">
        <f t="shared" si="48"/>
        <v>83389.84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1496507.98</v>
      </c>
      <c r="I598" s="108">
        <f>SUM(I591:I597)</f>
        <v>447846.39999999997</v>
      </c>
      <c r="J598" s="108">
        <f>SUM(J591:J597)</f>
        <v>1419002.72</v>
      </c>
      <c r="K598" s="108">
        <f>SUM(K591:K597)</f>
        <v>3363357.0999999996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23383.54</v>
      </c>
      <c r="I602" s="18"/>
      <c r="J602" s="18"/>
      <c r="K602" s="104">
        <f>SUM(H602:J602)</f>
        <v>23383.54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4"/>
      <c r="I603" s="18">
        <v>7482.73</v>
      </c>
      <c r="J603" s="18">
        <v>15300.8</v>
      </c>
      <c r="K603" s="104">
        <f>SUM(H603:J603)</f>
        <v>22783.53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206134.89-23383.54</f>
        <v>182751.35</v>
      </c>
      <c r="I604" s="18">
        <f>91046.02-7482.73</f>
        <v>83563.290000000008</v>
      </c>
      <c r="J604" s="18">
        <f>168196.92-15300.8</f>
        <v>152896.12000000002</v>
      </c>
      <c r="K604" s="104">
        <f>SUM(H604:J604)</f>
        <v>419210.76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206134.89</v>
      </c>
      <c r="I605" s="108">
        <f>SUM(I602:I604)</f>
        <v>91046.02</v>
      </c>
      <c r="J605" s="108">
        <f>SUM(J602:J604)</f>
        <v>168196.92</v>
      </c>
      <c r="K605" s="108">
        <f>SUM(K602:K604)</f>
        <v>465377.83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4388.1000000000004</v>
      </c>
      <c r="G611" s="18">
        <v>1230.0999999999999</v>
      </c>
      <c r="H611" s="18"/>
      <c r="I611" s="18">
        <v>2836.04</v>
      </c>
      <c r="J611" s="18"/>
      <c r="K611" s="18"/>
      <c r="L611" s="88">
        <f>SUM(F611:K611)</f>
        <v>8454.2400000000016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56075</v>
      </c>
      <c r="G613" s="18">
        <v>12321.1</v>
      </c>
      <c r="H613" s="18"/>
      <c r="I613" s="18"/>
      <c r="J613" s="18"/>
      <c r="K613" s="18"/>
      <c r="L613" s="88">
        <f>SUM(F613:K613)</f>
        <v>68396.100000000006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60463.1</v>
      </c>
      <c r="G614" s="108">
        <f t="shared" si="49"/>
        <v>13551.2</v>
      </c>
      <c r="H614" s="108">
        <f t="shared" si="49"/>
        <v>0</v>
      </c>
      <c r="I614" s="108">
        <f t="shared" si="49"/>
        <v>2836.04</v>
      </c>
      <c r="J614" s="108">
        <f t="shared" si="49"/>
        <v>0</v>
      </c>
      <c r="K614" s="108">
        <f t="shared" si="49"/>
        <v>0</v>
      </c>
      <c r="L614" s="89">
        <f t="shared" si="49"/>
        <v>76850.340000000011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6079725</v>
      </c>
      <c r="H617" s="109">
        <f>SUM(F52)</f>
        <v>6079725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137437</v>
      </c>
      <c r="H618" s="109">
        <f>SUM(G52)</f>
        <v>137437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157216</v>
      </c>
      <c r="H619" s="109">
        <f>SUM(H52)</f>
        <v>157216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725027</v>
      </c>
      <c r="H621" s="109">
        <f>SUM(J52)</f>
        <v>725027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5990275</v>
      </c>
      <c r="H622" s="109">
        <f>F476</f>
        <v>5990275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110857</v>
      </c>
      <c r="H623" s="109">
        <f>G476</f>
        <v>110856.99999999977</v>
      </c>
      <c r="I623" s="121" t="s">
        <v>102</v>
      </c>
      <c r="J623" s="109">
        <f t="shared" si="50"/>
        <v>2.3283064365386963E-10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725027</v>
      </c>
      <c r="H626" s="109">
        <f>J476</f>
        <v>725027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65050835.910000004</v>
      </c>
      <c r="H627" s="104">
        <f>SUM(F468)</f>
        <v>65050835.909999996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1135718.8800000001</v>
      </c>
      <c r="H628" s="104">
        <f>SUM(G468)</f>
        <v>1135718.8799999999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1376343.08</v>
      </c>
      <c r="H629" s="104">
        <f>SUM(H468)</f>
        <v>1376343.08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54911.23</v>
      </c>
      <c r="H631" s="104">
        <f>SUM(J468)</f>
        <v>54911.23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64526262.219999999</v>
      </c>
      <c r="H632" s="104">
        <f>SUM(F472)</f>
        <v>64526262.219999999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1376343.08</v>
      </c>
      <c r="H633" s="104">
        <f>SUM(H472)</f>
        <v>1376343.08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561485.57999999996</v>
      </c>
      <c r="H634" s="104">
        <f>I369</f>
        <v>561485.57999999996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1205565.53</v>
      </c>
      <c r="H635" s="104">
        <f>SUM(G472)</f>
        <v>1205565.53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54911.23000000001</v>
      </c>
      <c r="H637" s="164">
        <f>SUM(J468)</f>
        <v>54911.23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725027</v>
      </c>
      <c r="H639" s="104">
        <f>SUM(F461)</f>
        <v>725027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725027</v>
      </c>
      <c r="H642" s="104">
        <f>SUM(I461)</f>
        <v>725027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562.61</v>
      </c>
      <c r="H644" s="104">
        <f>H408</f>
        <v>562.61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54348.62</v>
      </c>
      <c r="H645" s="104">
        <f>G408</f>
        <v>54348.62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54911.23</v>
      </c>
      <c r="H646" s="104">
        <f>L408</f>
        <v>54911.23000000001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3363357.0999999996</v>
      </c>
      <c r="H647" s="104">
        <f>L208+L226+L244</f>
        <v>3363357.0992268063</v>
      </c>
      <c r="I647" s="140" t="s">
        <v>397</v>
      </c>
      <c r="J647" s="109">
        <f t="shared" si="50"/>
        <v>7.7319331467151642E-4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465377.83</v>
      </c>
      <c r="H648" s="104">
        <f>(J257+J338)-(J255+J336)</f>
        <v>465377.82999999996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1496507.9831620515</v>
      </c>
      <c r="H649" s="104">
        <f>H598</f>
        <v>1496507.98</v>
      </c>
      <c r="I649" s="140" t="s">
        <v>389</v>
      </c>
      <c r="J649" s="109">
        <f t="shared" si="50"/>
        <v>3.1620515510439873E-3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447846.39943952148</v>
      </c>
      <c r="H650" s="104">
        <f>I598</f>
        <v>447846.39999999997</v>
      </c>
      <c r="I650" s="140" t="s">
        <v>390</v>
      </c>
      <c r="J650" s="109">
        <f t="shared" si="50"/>
        <v>-5.6047848192974925E-4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1419002.7166252332</v>
      </c>
      <c r="H651" s="104">
        <f>J598</f>
        <v>1419002.72</v>
      </c>
      <c r="I651" s="140" t="s">
        <v>391</v>
      </c>
      <c r="J651" s="109">
        <f t="shared" si="50"/>
        <v>-3.3747667912393808E-3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54348.62</v>
      </c>
      <c r="H655" s="104">
        <f>K266+K347</f>
        <v>54348.62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31453078.130000006</v>
      </c>
      <c r="G660" s="19">
        <f>(L229+L309+L359)</f>
        <v>10572847.59</v>
      </c>
      <c r="H660" s="19">
        <f>(L247+L328+L360)</f>
        <v>22205739.670000002</v>
      </c>
      <c r="I660" s="19">
        <f>SUM(F660:H660)</f>
        <v>64231665.390000008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421936.75412629882</v>
      </c>
      <c r="G661" s="19">
        <f>(L359/IF(SUM(L358:L360)=0,1,SUM(L358:L360))*(SUM(G97:G110)))</f>
        <v>154664.75600991651</v>
      </c>
      <c r="H661" s="19">
        <f>(L360/IF(SUM(L358:L360)=0,1,SUM(L358:L360))*(SUM(G97:G110)))</f>
        <v>328797.85986378475</v>
      </c>
      <c r="I661" s="19">
        <f>SUM(F661:H661)</f>
        <v>905399.37000000011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1496507.9831620515</v>
      </c>
      <c r="G662" s="19">
        <f>(L226+L306)-(J226+J306)</f>
        <v>450346.39943952148</v>
      </c>
      <c r="H662" s="19">
        <f>(L244+L325)-(J244+J325)</f>
        <v>1419002.7166252332</v>
      </c>
      <c r="I662" s="19">
        <f>SUM(F662:H662)</f>
        <v>3365857.0992268063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908237.38000000012</v>
      </c>
      <c r="G663" s="199">
        <f>SUM(G575:G587)+SUM(I602:I604)+L612</f>
        <v>555868.64</v>
      </c>
      <c r="H663" s="199">
        <f>SUM(H575:H587)+SUM(J602:J604)+L613</f>
        <v>2210993.58</v>
      </c>
      <c r="I663" s="19">
        <f>SUM(F663:H663)</f>
        <v>3675099.6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28626396.012711655</v>
      </c>
      <c r="G664" s="19">
        <f>G660-SUM(G661:G663)</f>
        <v>9411967.7945505623</v>
      </c>
      <c r="H664" s="19">
        <f>H660-SUM(H661:H663)</f>
        <v>18246945.513510983</v>
      </c>
      <c r="I664" s="19">
        <f>I660-SUM(I661:I663)</f>
        <v>56285309.320773199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1793.87</v>
      </c>
      <c r="G665" s="248">
        <v>577.78</v>
      </c>
      <c r="H665" s="248">
        <v>1191.07</v>
      </c>
      <c r="I665" s="19">
        <f>SUM(F665:H665)</f>
        <v>3562.7199999999993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15957.9</v>
      </c>
      <c r="G667" s="19">
        <f>ROUND(G664/G665,2)</f>
        <v>16289.88</v>
      </c>
      <c r="H667" s="19">
        <f>ROUND(H664/H665,2)</f>
        <v>15319.79</v>
      </c>
      <c r="I667" s="19">
        <f>ROUND(I664/I665,2)</f>
        <v>15798.41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-13.67</v>
      </c>
      <c r="I670" s="19">
        <f>SUM(F670:H670)</f>
        <v>-13.67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15957.9</v>
      </c>
      <c r="G672" s="19">
        <f>ROUND((G664+G669)/(G665+G670),2)</f>
        <v>16289.88</v>
      </c>
      <c r="H672" s="19">
        <f>ROUND((H664+H669)/(H665+H670),2)</f>
        <v>15497.66</v>
      </c>
      <c r="I672" s="19">
        <f>ROUND((I664+I669)/(I665+I670),2)</f>
        <v>15859.26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workbookViewId="0">
      <selection activeCell="A46" sqref="A4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15177051.410000002</v>
      </c>
      <c r="C9" s="229">
        <f>'DOE25'!G197+'DOE25'!G215+'DOE25'!G233+'DOE25'!G276+'DOE25'!G295+'DOE25'!G314</f>
        <v>9033757.0179815721</v>
      </c>
    </row>
    <row r="10" spans="1:3" x14ac:dyDescent="0.2">
      <c r="A10" t="s">
        <v>779</v>
      </c>
      <c r="B10" s="240">
        <v>13962887.2972</v>
      </c>
      <c r="C10" s="240">
        <v>8311056.4500000002</v>
      </c>
    </row>
    <row r="11" spans="1:3" x14ac:dyDescent="0.2">
      <c r="A11" t="s">
        <v>780</v>
      </c>
      <c r="B11" s="240">
        <f>-13962887.3+15177041.41</f>
        <v>1214154.1099999994</v>
      </c>
      <c r="C11" s="240">
        <f>9033757.02-8311056.45</f>
        <v>722700.56999999937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15177041.407199999</v>
      </c>
      <c r="C13" s="231">
        <f>SUM(C10:C12)</f>
        <v>9033757.0199999996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7636942.4900000002</v>
      </c>
      <c r="C18" s="229">
        <f>'DOE25'!G198+'DOE25'!G216+'DOE25'!G234+'DOE25'!G277+'DOE25'!G296+'DOE25'!G315</f>
        <v>4248020.4630189594</v>
      </c>
    </row>
    <row r="19" spans="1:3" x14ac:dyDescent="0.2">
      <c r="A19" t="s">
        <v>779</v>
      </c>
      <c r="B19" s="240">
        <v>4311959.3146958565</v>
      </c>
      <c r="C19" s="240">
        <v>2398511.1094549056</v>
      </c>
    </row>
    <row r="20" spans="1:3" x14ac:dyDescent="0.2">
      <c r="A20" t="s">
        <v>780</v>
      </c>
      <c r="B20" s="240">
        <f>7636942.49-4311959.31</f>
        <v>3324983.1800000006</v>
      </c>
      <c r="C20" s="240">
        <f>4248020.46-2398511.11</f>
        <v>1849509.35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7636942.4946958572</v>
      </c>
      <c r="C22" s="231">
        <f>SUM(C19:C21)</f>
        <v>4248020.4594549052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391951.4</v>
      </c>
      <c r="C36" s="235">
        <f>'DOE25'!G200+'DOE25'!G218+'DOE25'!G236+'DOE25'!G279+'DOE25'!G298+'DOE25'!G317</f>
        <v>242222.48541885801</v>
      </c>
    </row>
    <row r="37" spans="1:3" x14ac:dyDescent="0.2">
      <c r="A37" t="s">
        <v>779</v>
      </c>
      <c r="B37" s="240">
        <v>391951.4</v>
      </c>
      <c r="C37" s="240">
        <v>242222.49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391951.4</v>
      </c>
      <c r="C40" s="231">
        <f>SUM(C37:C39)</f>
        <v>242222.49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Merrimack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41731321.906419396</v>
      </c>
      <c r="D5" s="20">
        <f>SUM('DOE25'!L197:L200)+SUM('DOE25'!L215:L218)+SUM('DOE25'!L233:L236)-F5-G5</f>
        <v>41335479.276419394</v>
      </c>
      <c r="E5" s="243"/>
      <c r="F5" s="255">
        <f>SUM('DOE25'!J197:J200)+SUM('DOE25'!J215:J218)+SUM('DOE25'!J233:J236)</f>
        <v>376852.63</v>
      </c>
      <c r="G5" s="53">
        <f>SUM('DOE25'!K197:K200)+SUM('DOE25'!K215:K218)+SUM('DOE25'!K233:K236)</f>
        <v>18990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4869061.2591893561</v>
      </c>
      <c r="D6" s="20">
        <f>'DOE25'!L202+'DOE25'!L220+'DOE25'!L238-F6-G6</f>
        <v>4869061.2591893561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1562816.2895530323</v>
      </c>
      <c r="D7" s="20">
        <f>'DOE25'!L203+'DOE25'!L221+'DOE25'!L239-F7-G7</f>
        <v>1539989.9295530322</v>
      </c>
      <c r="E7" s="243"/>
      <c r="F7" s="255">
        <f>'DOE25'!J203+'DOE25'!J221+'DOE25'!J239</f>
        <v>21742.36</v>
      </c>
      <c r="G7" s="53">
        <f>'DOE25'!K203+'DOE25'!K221+'DOE25'!K239</f>
        <v>1084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1207103.4059844734</v>
      </c>
      <c r="D8" s="243"/>
      <c r="E8" s="20">
        <f>'DOE25'!L204+'DOE25'!L222+'DOE25'!L240-F8-G8-D9-D11</f>
        <v>1169682.8659844734</v>
      </c>
      <c r="F8" s="255">
        <f>'DOE25'!J204+'DOE25'!J222+'DOE25'!J240</f>
        <v>15818.240000000002</v>
      </c>
      <c r="G8" s="53">
        <f>'DOE25'!K204+'DOE25'!K222+'DOE25'!K240</f>
        <v>21602.3</v>
      </c>
      <c r="H8" s="259"/>
    </row>
    <row r="9" spans="1:9" x14ac:dyDescent="0.2">
      <c r="A9" s="32">
        <v>2310</v>
      </c>
      <c r="B9" t="s">
        <v>818</v>
      </c>
      <c r="C9" s="245">
        <f t="shared" si="0"/>
        <v>80031.570000000007</v>
      </c>
      <c r="D9" s="244">
        <v>80031.570000000007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37000</v>
      </c>
      <c r="D10" s="243"/>
      <c r="E10" s="244">
        <v>37000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448293.7</v>
      </c>
      <c r="D11" s="244">
        <v>448293.7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3130447.4805097831</v>
      </c>
      <c r="D12" s="20">
        <f>'DOE25'!L205+'DOE25'!L223+'DOE25'!L241-F12-G12</f>
        <v>3076458.2905097832</v>
      </c>
      <c r="E12" s="243"/>
      <c r="F12" s="255">
        <f>'DOE25'!J205+'DOE25'!J223+'DOE25'!J241</f>
        <v>4197.53</v>
      </c>
      <c r="G12" s="53">
        <f>'DOE25'!K205+'DOE25'!K223+'DOE25'!K241</f>
        <v>49791.66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637541.40807253146</v>
      </c>
      <c r="D13" s="243"/>
      <c r="E13" s="20">
        <f>'DOE25'!L206+'DOE25'!L224+'DOE25'!L242-F13-G13</f>
        <v>630099.90807253146</v>
      </c>
      <c r="F13" s="255">
        <f>'DOE25'!J206+'DOE25'!J224+'DOE25'!J242</f>
        <v>0</v>
      </c>
      <c r="G13" s="53">
        <f>'DOE25'!K206+'DOE25'!K224+'DOE25'!K242</f>
        <v>7441.5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4461270.6954352185</v>
      </c>
      <c r="D14" s="20">
        <f>'DOE25'!L207+'DOE25'!L225+'DOE25'!L243-F14-G14</f>
        <v>4414503.6254352182</v>
      </c>
      <c r="E14" s="243"/>
      <c r="F14" s="255">
        <f>'DOE25'!J207+'DOE25'!J225+'DOE25'!J243</f>
        <v>46767.07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3363357.0992268063</v>
      </c>
      <c r="D15" s="20">
        <f>'DOE25'!L208+'DOE25'!L226+'DOE25'!L244-F15-G15</f>
        <v>3363357.0992268063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158511.96560940699</v>
      </c>
      <c r="D16" s="243"/>
      <c r="E16" s="20">
        <f>'DOE25'!L209+'DOE25'!L227+'DOE25'!L245-F16-G16</f>
        <v>158511.96560940699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5966.83</v>
      </c>
      <c r="D17" s="20">
        <f>'DOE25'!L251-F17-G17</f>
        <v>5966.83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1391387.49</v>
      </c>
      <c r="D22" s="243"/>
      <c r="E22" s="243"/>
      <c r="F22" s="255">
        <f>'DOE25'!L255+'DOE25'!L336</f>
        <v>1391387.49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1424802.5</v>
      </c>
      <c r="D25" s="243"/>
      <c r="E25" s="243"/>
      <c r="F25" s="258"/>
      <c r="G25" s="256"/>
      <c r="H25" s="257">
        <f>'DOE25'!L260+'DOE25'!L261+'DOE25'!L341+'DOE25'!L342</f>
        <v>1424802.5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703793.95000000007</v>
      </c>
      <c r="D29" s="20">
        <f>'DOE25'!L358+'DOE25'!L359+'DOE25'!L360-'DOE25'!I367-F29-G29</f>
        <v>683153.95000000007</v>
      </c>
      <c r="E29" s="243"/>
      <c r="F29" s="255">
        <f>'DOE25'!J358+'DOE25'!J359+'DOE25'!J360</f>
        <v>20455</v>
      </c>
      <c r="G29" s="53">
        <f>'DOE25'!K358+'DOE25'!K359+'DOE25'!K360</f>
        <v>185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1376343.08</v>
      </c>
      <c r="D31" s="20">
        <f>'DOE25'!L290+'DOE25'!L309+'DOE25'!L328+'DOE25'!L333+'DOE25'!L334+'DOE25'!L335-F31-G31</f>
        <v>1376343.08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61192638.610333592</v>
      </c>
      <c r="E33" s="246">
        <f>SUM(E5:E31)</f>
        <v>1995294.7396664119</v>
      </c>
      <c r="F33" s="246">
        <f>SUM(F5:F31)</f>
        <v>1877220.32</v>
      </c>
      <c r="G33" s="246">
        <f>SUM(G5:G31)</f>
        <v>99094.46</v>
      </c>
      <c r="H33" s="246">
        <f>SUM(H5:H31)</f>
        <v>1424802.5</v>
      </c>
    </row>
    <row r="35" spans="2:8" ht="12" thickBot="1" x14ac:dyDescent="0.25">
      <c r="B35" s="253" t="s">
        <v>847</v>
      </c>
      <c r="D35" s="254">
        <f>E33</f>
        <v>1995294.7396664119</v>
      </c>
      <c r="E35" s="249"/>
    </row>
    <row r="36" spans="2:8" ht="12" thickTop="1" x14ac:dyDescent="0.2">
      <c r="B36" t="s">
        <v>815</v>
      </c>
      <c r="D36" s="20">
        <f>D33</f>
        <v>61192638.610333592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3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5104744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725027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112746</v>
      </c>
      <c r="D11" s="95">
        <f>'DOE25'!G12</f>
        <v>137437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670847</v>
      </c>
      <c r="D12" s="95">
        <f>'DOE25'!G13</f>
        <v>0</v>
      </c>
      <c r="E12" s="95">
        <f>'DOE25'!H13</f>
        <v>157216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191388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6079725</v>
      </c>
      <c r="D18" s="41">
        <f>SUM(D8:D17)</f>
        <v>137437</v>
      </c>
      <c r="E18" s="41">
        <f>SUM(E8:E17)</f>
        <v>157216</v>
      </c>
      <c r="F18" s="41">
        <f>SUM(F8:F17)</f>
        <v>0</v>
      </c>
      <c r="G18" s="41">
        <f>SUM(G8:G17)</f>
        <v>725027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157216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89450</v>
      </c>
      <c r="D23" s="95">
        <f>'DOE25'!G24</f>
        <v>26580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89450</v>
      </c>
      <c r="D31" s="41">
        <f>SUM(D21:D30)</f>
        <v>26580</v>
      </c>
      <c r="E31" s="41">
        <f>SUM(E21:E30)</f>
        <v>157216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45267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21839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65590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'DOE25'!F45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725027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725027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245670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4922739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5990275</v>
      </c>
      <c r="D50" s="41">
        <f>SUM(D34:D49)</f>
        <v>110857</v>
      </c>
      <c r="E50" s="41">
        <f>SUM(E34:E49)</f>
        <v>0</v>
      </c>
      <c r="F50" s="41">
        <f>SUM(F34:F49)</f>
        <v>0</v>
      </c>
      <c r="G50" s="41">
        <f>SUM(G34:G49)</f>
        <v>725027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6079725</v>
      </c>
      <c r="D51" s="41">
        <f>D50+D31</f>
        <v>137437</v>
      </c>
      <c r="E51" s="41">
        <f>E50+E31</f>
        <v>157216</v>
      </c>
      <c r="F51" s="41">
        <f>F50+F31</f>
        <v>0</v>
      </c>
      <c r="G51" s="41">
        <f>G50+G31</f>
        <v>725027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46086553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272094.32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9103.7999999999993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562.61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905399.37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1072941.77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1354139.8900000001</v>
      </c>
      <c r="D62" s="130">
        <f>SUM(D57:D61)</f>
        <v>905399.37</v>
      </c>
      <c r="E62" s="130">
        <f>SUM(E57:E61)</f>
        <v>0</v>
      </c>
      <c r="F62" s="130">
        <f>SUM(F57:F61)</f>
        <v>0</v>
      </c>
      <c r="G62" s="130">
        <f>SUM(G57:G61)</f>
        <v>562.61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47440692.890000001</v>
      </c>
      <c r="D63" s="22">
        <f>D56+D62</f>
        <v>905399.37</v>
      </c>
      <c r="E63" s="22">
        <f>E56+E62</f>
        <v>0</v>
      </c>
      <c r="F63" s="22">
        <f>F56+F62</f>
        <v>0</v>
      </c>
      <c r="G63" s="22">
        <f>G56+G62</f>
        <v>562.61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8772765.1099999994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6884669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15657434.109999999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415587.3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899063.32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8697.5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56542.29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1323348.1199999999</v>
      </c>
      <c r="D78" s="130">
        <f>SUM(D72:D77)</f>
        <v>56542.29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16980782.23</v>
      </c>
      <c r="D81" s="130">
        <f>SUM(D79:D80)+D78+D70</f>
        <v>56542.29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629360.79</v>
      </c>
      <c r="D88" s="95">
        <f>SUM('DOE25'!G153:G161)</f>
        <v>173777.22</v>
      </c>
      <c r="E88" s="95">
        <f>SUM('DOE25'!H153:H161)</f>
        <v>1376343.08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629360.79</v>
      </c>
      <c r="D91" s="131">
        <f>SUM(D85:D90)</f>
        <v>173777.22</v>
      </c>
      <c r="E91" s="131">
        <f>SUM(E85:E90)</f>
        <v>1376343.08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54348.62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54348.62</v>
      </c>
    </row>
    <row r="104" spans="1:7" ht="12.75" thickTop="1" thickBot="1" x14ac:dyDescent="0.25">
      <c r="A104" s="33" t="s">
        <v>765</v>
      </c>
      <c r="C104" s="86">
        <f>C63+C81+C91+C103</f>
        <v>65050835.910000004</v>
      </c>
      <c r="D104" s="86">
        <f>D63+D81+D91+D103</f>
        <v>1135718.8800000001</v>
      </c>
      <c r="E104" s="86">
        <f>E63+E81+E91+E103</f>
        <v>1376343.08</v>
      </c>
      <c r="F104" s="86">
        <f>F63+F81+F91+F103</f>
        <v>0</v>
      </c>
      <c r="G104" s="86">
        <f>G63+G81+G103</f>
        <v>54911.23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25248668.067981575</v>
      </c>
      <c r="D109" s="24" t="s">
        <v>289</v>
      </c>
      <c r="E109" s="95">
        <f>('DOE25'!L276)+('DOE25'!L295)+('DOE25'!L314)</f>
        <v>120773.78000000001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15641228.803018961</v>
      </c>
      <c r="D110" s="24" t="s">
        <v>289</v>
      </c>
      <c r="E110" s="95">
        <f>('DOE25'!L277)+('DOE25'!L296)+('DOE25'!L315)</f>
        <v>593086.52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3344.29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838080.7454188579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5966.83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41737288.736419395</v>
      </c>
      <c r="D115" s="86">
        <f>SUM(D109:D114)</f>
        <v>0</v>
      </c>
      <c r="E115" s="86">
        <f>SUM(E109:E114)</f>
        <v>713860.3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4869061.2591893561</v>
      </c>
      <c r="D118" s="24" t="s">
        <v>289</v>
      </c>
      <c r="E118" s="95">
        <f>+('DOE25'!L281)+('DOE25'!L300)+('DOE25'!L319)</f>
        <v>477101.66000000003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1562816.2895530323</v>
      </c>
      <c r="D119" s="24" t="s">
        <v>289</v>
      </c>
      <c r="E119" s="95">
        <f>+('DOE25'!L282)+('DOE25'!L301)+('DOE25'!L320)</f>
        <v>160718.62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1735428.6759844734</v>
      </c>
      <c r="D120" s="24" t="s">
        <v>289</v>
      </c>
      <c r="E120" s="95">
        <f>+('DOE25'!L283)+('DOE25'!L302)+('DOE25'!L321)</f>
        <v>5985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3130447.4805097831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637541.40807253146</v>
      </c>
      <c r="D122" s="24" t="s">
        <v>289</v>
      </c>
      <c r="E122" s="95">
        <f>+('DOE25'!L285)+('DOE25'!L304)+('DOE25'!L323)</f>
        <v>1080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4461270.6954352185</v>
      </c>
      <c r="D123" s="24" t="s">
        <v>289</v>
      </c>
      <c r="E123" s="95">
        <f>+('DOE25'!L286)+('DOE25'!L305)+('DOE25'!L324)</f>
        <v>15097.5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3363357.0992268063</v>
      </c>
      <c r="D124" s="24" t="s">
        <v>289</v>
      </c>
      <c r="E124" s="95">
        <f>+('DOE25'!L287)+('DOE25'!L306)+('DOE25'!L325)</f>
        <v>2500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158511.96560940699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1205565.53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19918434.873580605</v>
      </c>
      <c r="D128" s="86">
        <f>SUM(D118:D127)</f>
        <v>1205565.53</v>
      </c>
      <c r="E128" s="86">
        <f>SUM(E118:E127)</f>
        <v>662482.78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1391387.49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1070000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354802.5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54911.23000000001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-562.61000000000786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2870538.6100000003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64526262.219999999</v>
      </c>
      <c r="D145" s="86">
        <f>(D115+D128+D144)</f>
        <v>1205565.53</v>
      </c>
      <c r="E145" s="86">
        <f>(E115+E128+E144)</f>
        <v>1376343.08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12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2/01</v>
      </c>
      <c r="C152" s="152" t="str">
        <f>'DOE25'!G491</f>
        <v>2/04</v>
      </c>
      <c r="D152" s="152" t="str">
        <f>'DOE25'!H491</f>
        <v>07/07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</v>
      </c>
      <c r="C153" s="152" t="str">
        <f>'DOE25'!G492</f>
        <v>8/23</v>
      </c>
      <c r="D153" s="152" t="str">
        <f>'DOE25'!H492</f>
        <v>07/20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5915851</v>
      </c>
      <c r="C154" s="137">
        <f>'DOE25'!G493</f>
        <v>15525000</v>
      </c>
      <c r="D154" s="137">
        <f>'DOE25'!H493</f>
        <v>3675816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5.31</v>
      </c>
      <c r="C155" s="137">
        <f>'DOE25'!G494</f>
        <v>3.52</v>
      </c>
      <c r="D155" s="137">
        <f>'DOE25'!H494</f>
        <v>4.4800000000000004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1770000</v>
      </c>
      <c r="C156" s="137">
        <f>'DOE25'!G495</f>
        <v>6975000</v>
      </c>
      <c r="D156" s="137">
        <f>'DOE25'!H495</f>
        <v>1959405</v>
      </c>
      <c r="E156" s="137">
        <f>'DOE25'!I495</f>
        <v>0</v>
      </c>
      <c r="F156" s="137">
        <f>'DOE25'!J495</f>
        <v>0</v>
      </c>
      <c r="G156" s="138">
        <f>SUM(B156:F156)</f>
        <v>10704405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295000</v>
      </c>
      <c r="C158" s="137">
        <f>'DOE25'!G497</f>
        <v>775000</v>
      </c>
      <c r="D158" s="137">
        <f>'DOE25'!H497</f>
        <v>245382</v>
      </c>
      <c r="E158" s="137">
        <f>'DOE25'!I497</f>
        <v>0</v>
      </c>
      <c r="F158" s="137">
        <f>'DOE25'!J497</f>
        <v>0</v>
      </c>
      <c r="G158" s="138">
        <f t="shared" si="0"/>
        <v>1315382</v>
      </c>
    </row>
    <row r="159" spans="1:9" x14ac:dyDescent="0.2">
      <c r="A159" s="22" t="s">
        <v>35</v>
      </c>
      <c r="B159" s="137">
        <f>'DOE25'!F498</f>
        <v>1535000</v>
      </c>
      <c r="C159" s="137">
        <f>'DOE25'!G498</f>
        <v>6200000</v>
      </c>
      <c r="D159" s="137">
        <f>'DOE25'!H498</f>
        <v>1713618</v>
      </c>
      <c r="E159" s="137">
        <f>'DOE25'!I498</f>
        <v>0</v>
      </c>
      <c r="F159" s="137">
        <f>'DOE25'!J498</f>
        <v>0</v>
      </c>
      <c r="G159" s="138">
        <f t="shared" si="0"/>
        <v>9448618</v>
      </c>
    </row>
    <row r="160" spans="1:9" x14ac:dyDescent="0.2">
      <c r="A160" s="22" t="s">
        <v>36</v>
      </c>
      <c r="B160" s="137">
        <f>'DOE25'!F499</f>
        <v>132223</v>
      </c>
      <c r="C160" s="137">
        <f>'DOE25'!G499</f>
        <v>1100500</v>
      </c>
      <c r="D160" s="137">
        <f>'DOE25'!H499</f>
        <v>167641</v>
      </c>
      <c r="E160" s="137">
        <f>'DOE25'!I499</f>
        <v>0</v>
      </c>
      <c r="F160" s="137">
        <f>'DOE25'!J499</f>
        <v>0</v>
      </c>
      <c r="G160" s="138">
        <f t="shared" si="0"/>
        <v>1400364</v>
      </c>
    </row>
    <row r="161" spans="1:7" x14ac:dyDescent="0.2">
      <c r="A161" s="22" t="s">
        <v>37</v>
      </c>
      <c r="B161" s="137">
        <f>'DOE25'!F500</f>
        <v>1667223</v>
      </c>
      <c r="C161" s="137">
        <f>'DOE25'!G500</f>
        <v>7300500</v>
      </c>
      <c r="D161" s="137">
        <f>'DOE25'!H500</f>
        <v>1881259</v>
      </c>
      <c r="E161" s="137">
        <f>'DOE25'!I500</f>
        <v>0</v>
      </c>
      <c r="F161" s="137">
        <f>'DOE25'!J500</f>
        <v>0</v>
      </c>
      <c r="G161" s="138">
        <f t="shared" si="0"/>
        <v>10848982</v>
      </c>
    </row>
    <row r="162" spans="1:7" x14ac:dyDescent="0.2">
      <c r="A162" s="22" t="s">
        <v>38</v>
      </c>
      <c r="B162" s="137">
        <f>'DOE25'!F501</f>
        <v>295000</v>
      </c>
      <c r="C162" s="137">
        <f>'DOE25'!G501</f>
        <v>775000</v>
      </c>
      <c r="D162" s="137">
        <f>'DOE25'!H501</f>
        <v>245382</v>
      </c>
      <c r="E162" s="137">
        <f>'DOE25'!I501</f>
        <v>0</v>
      </c>
      <c r="F162" s="137">
        <f>'DOE25'!J501</f>
        <v>0</v>
      </c>
      <c r="G162" s="138">
        <f t="shared" si="0"/>
        <v>1315382</v>
      </c>
    </row>
    <row r="163" spans="1:7" x14ac:dyDescent="0.2">
      <c r="A163" s="22" t="s">
        <v>39</v>
      </c>
      <c r="B163" s="137">
        <f>'DOE25'!F502</f>
        <v>72573</v>
      </c>
      <c r="C163" s="137">
        <f>'DOE25'!G502</f>
        <v>267375</v>
      </c>
      <c r="D163" s="137">
        <f>'DOE25'!H502</f>
        <v>71354</v>
      </c>
      <c r="E163" s="137">
        <f>'DOE25'!I502</f>
        <v>0</v>
      </c>
      <c r="F163" s="137">
        <f>'DOE25'!J502</f>
        <v>0</v>
      </c>
      <c r="G163" s="138">
        <f t="shared" si="0"/>
        <v>411302</v>
      </c>
    </row>
    <row r="164" spans="1:7" x14ac:dyDescent="0.2">
      <c r="A164" s="22" t="s">
        <v>246</v>
      </c>
      <c r="B164" s="137">
        <f>'DOE25'!F503</f>
        <v>367573</v>
      </c>
      <c r="C164" s="137">
        <f>'DOE25'!G503</f>
        <v>1042375</v>
      </c>
      <c r="D164" s="137">
        <f>'DOE25'!H503</f>
        <v>316736</v>
      </c>
      <c r="E164" s="137">
        <f>'DOE25'!I503</f>
        <v>0</v>
      </c>
      <c r="F164" s="137">
        <f>'DOE25'!J503</f>
        <v>0</v>
      </c>
      <c r="G164" s="138">
        <f t="shared" si="0"/>
        <v>1726684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Merrimack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15958</v>
      </c>
    </row>
    <row r="5" spans="1:4" x14ac:dyDescent="0.2">
      <c r="B5" t="s">
        <v>704</v>
      </c>
      <c r="C5" s="179">
        <f>IF('DOE25'!G665+'DOE25'!G670=0,0,ROUND('DOE25'!G672,0))</f>
        <v>16290</v>
      </c>
    </row>
    <row r="6" spans="1:4" x14ac:dyDescent="0.2">
      <c r="B6" t="s">
        <v>62</v>
      </c>
      <c r="C6" s="179">
        <f>IF('DOE25'!H665+'DOE25'!H670=0,0,ROUND('DOE25'!H672,0))</f>
        <v>15498</v>
      </c>
    </row>
    <row r="7" spans="1:4" x14ac:dyDescent="0.2">
      <c r="B7" t="s">
        <v>705</v>
      </c>
      <c r="C7" s="179">
        <f>IF('DOE25'!I665+'DOE25'!I670=0,0,ROUND('DOE25'!I672,0))</f>
        <v>15859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25369442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16234315</v>
      </c>
      <c r="D11" s="182">
        <f>ROUND((C11/$C$28)*100,1)</f>
        <v>25.5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3344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838081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5346163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1723535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1899926</v>
      </c>
      <c r="D17" s="182">
        <f t="shared" si="0"/>
        <v>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3130447</v>
      </c>
      <c r="D18" s="182">
        <f t="shared" si="0"/>
        <v>4.9000000000000004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638621</v>
      </c>
      <c r="D19" s="182">
        <f t="shared" si="0"/>
        <v>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4476368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3365857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5967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354803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300166.63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63687035.630000003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1391387</v>
      </c>
    </row>
    <row r="30" spans="1:4" x14ac:dyDescent="0.2">
      <c r="B30" s="187" t="s">
        <v>729</v>
      </c>
      <c r="C30" s="180">
        <f>SUM(C28:C29)</f>
        <v>65078422.630000003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1070000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46086553</v>
      </c>
      <c r="D35" s="182">
        <f t="shared" ref="D35:D40" si="1">ROUND((C35/$C$41)*100,1)</f>
        <v>69.099999999999994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1354702.5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15657434</v>
      </c>
      <c r="D37" s="182">
        <f t="shared" si="1"/>
        <v>23.5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1379890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2179481</v>
      </c>
      <c r="D39" s="182">
        <f t="shared" si="1"/>
        <v>3.3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66658060.5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Merrimack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2016-10-03T19:18:55Z</cp:lastPrinted>
  <dcterms:created xsi:type="dcterms:W3CDTF">1997-12-04T19:04:30Z</dcterms:created>
  <dcterms:modified xsi:type="dcterms:W3CDTF">2016-11-30T16:36:47Z</dcterms:modified>
</cp:coreProperties>
</file>