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730" windowHeight="117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F50" i="1"/>
  <c r="F11" i="1"/>
  <c r="F57" i="1"/>
  <c r="G48" i="1"/>
  <c r="F12" i="1"/>
  <c r="G22" i="1"/>
  <c r="H367" i="1"/>
  <c r="G367" i="1"/>
  <c r="F367" i="1"/>
  <c r="I360" i="1"/>
  <c r="I359" i="1"/>
  <c r="I358" i="1"/>
  <c r="G16" i="1"/>
  <c r="F14" i="1" l="1"/>
  <c r="H161" i="1"/>
  <c r="H13" i="1"/>
  <c r="H243" i="1" l="1"/>
  <c r="H225" i="1"/>
  <c r="H207" i="1"/>
  <c r="C38" i="12" l="1"/>
  <c r="C37" i="12"/>
  <c r="B38" i="12"/>
  <c r="B37" i="12"/>
  <c r="C10" i="12"/>
  <c r="B19" i="12"/>
  <c r="C20" i="12"/>
  <c r="C19" i="12"/>
  <c r="B20" i="12"/>
  <c r="C11" i="12"/>
  <c r="B11" i="12"/>
  <c r="B10" i="12"/>
  <c r="G197" i="1"/>
  <c r="H30" i="1" l="1"/>
  <c r="H28" i="1"/>
  <c r="H12" i="1"/>
  <c r="H22" i="1" l="1"/>
  <c r="H24" i="1"/>
  <c r="F28" i="1"/>
  <c r="F10" i="1"/>
  <c r="F9" i="1"/>
  <c r="J472" i="1"/>
  <c r="I472" i="1"/>
  <c r="H472" i="1"/>
  <c r="G97" i="1"/>
  <c r="F96" i="1"/>
  <c r="J604" i="1"/>
  <c r="I604" i="1"/>
  <c r="H604" i="1"/>
  <c r="J96" i="1"/>
  <c r="H597" i="1"/>
  <c r="I597" i="1"/>
  <c r="J597" i="1"/>
  <c r="J591" i="1"/>
  <c r="I591" i="1"/>
  <c r="H591" i="1"/>
  <c r="J593" i="1"/>
  <c r="I593" i="1"/>
  <c r="H593" i="1"/>
  <c r="H592" i="1"/>
  <c r="H579" i="1"/>
  <c r="G579" i="1"/>
  <c r="F579" i="1"/>
  <c r="G533" i="1"/>
  <c r="G532" i="1"/>
  <c r="G531" i="1"/>
  <c r="F533" i="1"/>
  <c r="F532" i="1"/>
  <c r="F531" i="1"/>
  <c r="G528" i="1"/>
  <c r="G527" i="1"/>
  <c r="G526" i="1"/>
  <c r="F528" i="1"/>
  <c r="F527" i="1"/>
  <c r="F526" i="1"/>
  <c r="J523" i="1"/>
  <c r="J522" i="1"/>
  <c r="J521" i="1"/>
  <c r="I523" i="1"/>
  <c r="I522" i="1"/>
  <c r="I521" i="1"/>
  <c r="G523" i="1"/>
  <c r="G522" i="1"/>
  <c r="G521" i="1"/>
  <c r="F523" i="1"/>
  <c r="F522" i="1"/>
  <c r="F521" i="1"/>
  <c r="I564" i="1"/>
  <c r="I563" i="1"/>
  <c r="I562" i="1"/>
  <c r="H564" i="1"/>
  <c r="H563" i="1"/>
  <c r="H562" i="1"/>
  <c r="G564" i="1"/>
  <c r="G563" i="1"/>
  <c r="G562" i="1"/>
  <c r="H543" i="1"/>
  <c r="H542" i="1"/>
  <c r="H541" i="1"/>
  <c r="G543" i="1"/>
  <c r="G542" i="1"/>
  <c r="G541" i="1"/>
  <c r="F543" i="1"/>
  <c r="F542" i="1"/>
  <c r="F541" i="1"/>
  <c r="H537" i="1"/>
  <c r="H536" i="1"/>
  <c r="H538" i="1"/>
  <c r="K533" i="1"/>
  <c r="K532" i="1"/>
  <c r="K531" i="1"/>
  <c r="J533" i="1"/>
  <c r="J532" i="1"/>
  <c r="J531" i="1"/>
  <c r="H533" i="1"/>
  <c r="H532" i="1"/>
  <c r="H531" i="1"/>
  <c r="H523" i="1"/>
  <c r="H522" i="1"/>
  <c r="H521" i="1"/>
  <c r="H528" i="1"/>
  <c r="H527" i="1"/>
  <c r="I526" i="1"/>
  <c r="H526" i="1"/>
  <c r="I468" i="1"/>
  <c r="J335" i="1"/>
  <c r="I335" i="1"/>
  <c r="H335" i="1"/>
  <c r="G335" i="1"/>
  <c r="F335" i="1"/>
  <c r="H336" i="1" l="1"/>
  <c r="H320" i="1"/>
  <c r="H301" i="1"/>
  <c r="H282" i="1"/>
  <c r="G320" i="1"/>
  <c r="G301" i="1"/>
  <c r="G282" i="1"/>
  <c r="F320" i="1"/>
  <c r="F301" i="1"/>
  <c r="G319" i="1"/>
  <c r="G300" i="1"/>
  <c r="G281" i="1"/>
  <c r="F319" i="1"/>
  <c r="F300" i="1"/>
  <c r="F281" i="1"/>
  <c r="I317" i="1"/>
  <c r="I298" i="1"/>
  <c r="I279" i="1"/>
  <c r="H317" i="1"/>
  <c r="H298" i="1"/>
  <c r="H279" i="1"/>
  <c r="G317" i="1"/>
  <c r="G298" i="1"/>
  <c r="G279" i="1"/>
  <c r="J315" i="1"/>
  <c r="J296" i="1"/>
  <c r="J277" i="1"/>
  <c r="I315" i="1"/>
  <c r="I296" i="1"/>
  <c r="I277" i="1"/>
  <c r="G315" i="1"/>
  <c r="G296" i="1"/>
  <c r="G277" i="1"/>
  <c r="F315" i="1"/>
  <c r="F296" i="1"/>
  <c r="F277" i="1"/>
  <c r="I314" i="1"/>
  <c r="I295" i="1"/>
  <c r="I276" i="1"/>
  <c r="H314" i="1"/>
  <c r="H295" i="1"/>
  <c r="H276" i="1"/>
  <c r="G276" i="1"/>
  <c r="F314" i="1"/>
  <c r="F295" i="1"/>
  <c r="F276" i="1"/>
  <c r="F279" i="1"/>
  <c r="J276" i="1"/>
  <c r="H360" i="1"/>
  <c r="H359" i="1"/>
  <c r="H358" i="1"/>
  <c r="G360" i="1"/>
  <c r="G359" i="1"/>
  <c r="G358" i="1"/>
  <c r="F360" i="1"/>
  <c r="F359" i="1"/>
  <c r="F358" i="1"/>
  <c r="J358" i="1"/>
  <c r="I243" i="1"/>
  <c r="K244" i="1"/>
  <c r="K226" i="1"/>
  <c r="K208" i="1"/>
  <c r="J244" i="1"/>
  <c r="J226" i="1"/>
  <c r="J208" i="1"/>
  <c r="I244" i="1"/>
  <c r="I226" i="1"/>
  <c r="I208" i="1"/>
  <c r="H244" i="1"/>
  <c r="H226" i="1"/>
  <c r="H208" i="1"/>
  <c r="G244" i="1"/>
  <c r="G226" i="1"/>
  <c r="G208" i="1"/>
  <c r="F244" i="1"/>
  <c r="F226" i="1"/>
  <c r="F208" i="1"/>
  <c r="J243" i="1"/>
  <c r="J225" i="1"/>
  <c r="J207" i="1"/>
  <c r="I225" i="1"/>
  <c r="I207" i="1"/>
  <c r="G243" i="1"/>
  <c r="G225" i="1"/>
  <c r="G207" i="1"/>
  <c r="F243" i="1"/>
  <c r="F225" i="1"/>
  <c r="F207" i="1"/>
  <c r="J241" i="1"/>
  <c r="J223" i="1"/>
  <c r="J205" i="1"/>
  <c r="I241" i="1"/>
  <c r="I223" i="1"/>
  <c r="I205" i="1"/>
  <c r="G241" i="1"/>
  <c r="G223" i="1"/>
  <c r="G205" i="1"/>
  <c r="K240" i="1"/>
  <c r="K222" i="1"/>
  <c r="K204" i="1"/>
  <c r="I240" i="1"/>
  <c r="I222" i="1"/>
  <c r="I204" i="1"/>
  <c r="H240" i="1"/>
  <c r="H222" i="1"/>
  <c r="H204" i="1"/>
  <c r="G240" i="1"/>
  <c r="G222" i="1"/>
  <c r="G204" i="1"/>
  <c r="F240" i="1"/>
  <c r="F222" i="1"/>
  <c r="F204" i="1"/>
  <c r="J239" i="1"/>
  <c r="J221" i="1"/>
  <c r="J203" i="1"/>
  <c r="I239" i="1"/>
  <c r="I221" i="1"/>
  <c r="I203" i="1"/>
  <c r="H239" i="1"/>
  <c r="H221" i="1"/>
  <c r="H203" i="1"/>
  <c r="G239" i="1"/>
  <c r="G221" i="1"/>
  <c r="G203" i="1"/>
  <c r="F239" i="1"/>
  <c r="F221" i="1"/>
  <c r="F203" i="1"/>
  <c r="K238" i="1"/>
  <c r="K220" i="1"/>
  <c r="K202" i="1"/>
  <c r="J238" i="1"/>
  <c r="J220" i="1"/>
  <c r="J202" i="1"/>
  <c r="H238" i="1"/>
  <c r="H220" i="1"/>
  <c r="H202" i="1"/>
  <c r="G238" i="1"/>
  <c r="G220" i="1"/>
  <c r="G202" i="1"/>
  <c r="F238" i="1"/>
  <c r="F220" i="1"/>
  <c r="F202" i="1"/>
  <c r="G236" i="1"/>
  <c r="G218" i="1"/>
  <c r="G200" i="1"/>
  <c r="J234" i="1"/>
  <c r="J216" i="1"/>
  <c r="J198" i="1"/>
  <c r="I234" i="1"/>
  <c r="I216" i="1"/>
  <c r="I198" i="1"/>
  <c r="H234" i="1"/>
  <c r="H216" i="1"/>
  <c r="H198" i="1"/>
  <c r="G234" i="1"/>
  <c r="G216" i="1"/>
  <c r="G198" i="1"/>
  <c r="F234" i="1"/>
  <c r="F216" i="1"/>
  <c r="F198" i="1"/>
  <c r="J233" i="1"/>
  <c r="J215" i="1"/>
  <c r="J197" i="1"/>
  <c r="I233" i="1"/>
  <c r="I215" i="1"/>
  <c r="I197" i="1"/>
  <c r="G215" i="1"/>
  <c r="F233" i="1"/>
  <c r="F215" i="1"/>
  <c r="F197" i="1"/>
  <c r="K241" i="1"/>
  <c r="H241" i="1"/>
  <c r="F241" i="1"/>
  <c r="I238" i="1"/>
  <c r="K236" i="1"/>
  <c r="I236" i="1"/>
  <c r="H236" i="1"/>
  <c r="F236" i="1"/>
  <c r="H235" i="1"/>
  <c r="H233" i="1"/>
  <c r="K223" i="1"/>
  <c r="H223" i="1"/>
  <c r="F223" i="1"/>
  <c r="I220" i="1"/>
  <c r="I218" i="1"/>
  <c r="F218" i="1"/>
  <c r="H215" i="1"/>
  <c r="K205" i="1"/>
  <c r="H205" i="1"/>
  <c r="F205" i="1"/>
  <c r="I202" i="1"/>
  <c r="F200" i="1"/>
  <c r="H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E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E125" i="2" s="1"/>
  <c r="L314" i="1"/>
  <c r="L315" i="1"/>
  <c r="L316" i="1"/>
  <c r="L317" i="1"/>
  <c r="L319" i="1"/>
  <c r="L320" i="1"/>
  <c r="E119" i="2" s="1"/>
  <c r="L321" i="1"/>
  <c r="L322" i="1"/>
  <c r="L323" i="1"/>
  <c r="L324" i="1"/>
  <c r="L325" i="1"/>
  <c r="E124" i="2" s="1"/>
  <c r="L326" i="1"/>
  <c r="L333" i="1"/>
  <c r="L334" i="1"/>
  <c r="L335" i="1"/>
  <c r="E114" i="2" s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F111" i="1"/>
  <c r="G111" i="1"/>
  <c r="H79" i="1"/>
  <c r="H94" i="1"/>
  <c r="E58" i="2" s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D115" i="2"/>
  <c r="F115" i="2"/>
  <c r="G115" i="2"/>
  <c r="E120" i="2"/>
  <c r="C122" i="2"/>
  <c r="E123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J645" i="1" s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H460" i="1"/>
  <c r="H461" i="1" s="1"/>
  <c r="H641" i="1" s="1"/>
  <c r="I470" i="1"/>
  <c r="I476" i="1" s="1"/>
  <c r="H625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H571" i="1" s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H630" i="1"/>
  <c r="H633" i="1"/>
  <c r="H636" i="1"/>
  <c r="H638" i="1"/>
  <c r="G639" i="1"/>
  <c r="G641" i="1"/>
  <c r="J641" i="1" s="1"/>
  <c r="G643" i="1"/>
  <c r="J643" i="1" s="1"/>
  <c r="H643" i="1"/>
  <c r="G644" i="1"/>
  <c r="G645" i="1"/>
  <c r="G652" i="1"/>
  <c r="H652" i="1"/>
  <c r="G653" i="1"/>
  <c r="H653" i="1"/>
  <c r="G654" i="1"/>
  <c r="H654" i="1"/>
  <c r="H655" i="1"/>
  <c r="J655" i="1" s="1"/>
  <c r="C26" i="10"/>
  <c r="A31" i="12"/>
  <c r="C70" i="2"/>
  <c r="D18" i="2"/>
  <c r="D17" i="13"/>
  <c r="C17" i="13" s="1"/>
  <c r="F78" i="2"/>
  <c r="C78" i="2"/>
  <c r="G157" i="2"/>
  <c r="D19" i="13"/>
  <c r="C19" i="13" s="1"/>
  <c r="E13" i="13"/>
  <c r="C13" i="13" s="1"/>
  <c r="E78" i="2"/>
  <c r="L427" i="1"/>
  <c r="D81" i="2"/>
  <c r="I169" i="1"/>
  <c r="F169" i="1"/>
  <c r="J140" i="1"/>
  <c r="G22" i="2"/>
  <c r="H140" i="1"/>
  <c r="F22" i="13"/>
  <c r="C22" i="13" s="1"/>
  <c r="H192" i="1"/>
  <c r="L570" i="1"/>
  <c r="L270" i="1" l="1"/>
  <c r="D14" i="13"/>
  <c r="C14" i="13" s="1"/>
  <c r="A40" i="12"/>
  <c r="A13" i="12"/>
  <c r="J625" i="1"/>
  <c r="E31" i="2"/>
  <c r="D50" i="2"/>
  <c r="D31" i="2"/>
  <c r="J617" i="1"/>
  <c r="C18" i="2"/>
  <c r="D91" i="2"/>
  <c r="D62" i="2"/>
  <c r="C91" i="2"/>
  <c r="C81" i="2"/>
  <c r="C35" i="10"/>
  <c r="F112" i="1"/>
  <c r="G62" i="2"/>
  <c r="G63" i="2" s="1"/>
  <c r="G104" i="2" s="1"/>
  <c r="K598" i="1"/>
  <c r="G647" i="1" s="1"/>
  <c r="I571" i="1"/>
  <c r="L565" i="1"/>
  <c r="L571" i="1" s="1"/>
  <c r="I552" i="1"/>
  <c r="L539" i="1"/>
  <c r="I545" i="1"/>
  <c r="K545" i="1"/>
  <c r="J545" i="1"/>
  <c r="F552" i="1"/>
  <c r="K549" i="1"/>
  <c r="G545" i="1"/>
  <c r="G552" i="1"/>
  <c r="K551" i="1"/>
  <c r="H545" i="1"/>
  <c r="L534" i="1"/>
  <c r="H552" i="1"/>
  <c r="K550" i="1"/>
  <c r="L529" i="1"/>
  <c r="L524" i="1"/>
  <c r="I460" i="1"/>
  <c r="I461" i="1" s="1"/>
  <c r="H642" i="1" s="1"/>
  <c r="I446" i="1"/>
  <c r="G642" i="1" s="1"/>
  <c r="J640" i="1"/>
  <c r="H408" i="1"/>
  <c r="H644" i="1" s="1"/>
  <c r="J644" i="1" s="1"/>
  <c r="H662" i="1"/>
  <c r="G662" i="1"/>
  <c r="E122" i="2"/>
  <c r="J338" i="1"/>
  <c r="J352" i="1" s="1"/>
  <c r="G338" i="1"/>
  <c r="G352" i="1" s="1"/>
  <c r="L328" i="1"/>
  <c r="L309" i="1"/>
  <c r="F338" i="1"/>
  <c r="F352" i="1" s="1"/>
  <c r="H338" i="1"/>
  <c r="H352" i="1" s="1"/>
  <c r="L362" i="1"/>
  <c r="H661" i="1"/>
  <c r="F661" i="1"/>
  <c r="L256" i="1"/>
  <c r="G650" i="1"/>
  <c r="G651" i="1"/>
  <c r="J651" i="1" s="1"/>
  <c r="G257" i="1"/>
  <c r="G271" i="1" s="1"/>
  <c r="C111" i="2"/>
  <c r="L247" i="1"/>
  <c r="H647" i="1"/>
  <c r="C123" i="2"/>
  <c r="C16" i="10"/>
  <c r="C15" i="10"/>
  <c r="C118" i="2"/>
  <c r="C112" i="2"/>
  <c r="J257" i="1"/>
  <c r="J271" i="1" s="1"/>
  <c r="C11" i="10"/>
  <c r="I257" i="1"/>
  <c r="I271" i="1" s="1"/>
  <c r="L229" i="1"/>
  <c r="F257" i="1"/>
  <c r="F271" i="1" s="1"/>
  <c r="C20" i="10"/>
  <c r="K257" i="1"/>
  <c r="K271" i="1" s="1"/>
  <c r="C18" i="10"/>
  <c r="C17" i="10"/>
  <c r="C119" i="2"/>
  <c r="D7" i="13"/>
  <c r="C7" i="13" s="1"/>
  <c r="D6" i="13"/>
  <c r="C6" i="13" s="1"/>
  <c r="C110" i="2"/>
  <c r="L211" i="1"/>
  <c r="H257" i="1"/>
  <c r="H271" i="1" s="1"/>
  <c r="C109" i="2"/>
  <c r="C10" i="10"/>
  <c r="C16" i="13"/>
  <c r="J634" i="1"/>
  <c r="D63" i="2"/>
  <c r="E62" i="2"/>
  <c r="E63" i="2" s="1"/>
  <c r="L290" i="1"/>
  <c r="E118" i="2"/>
  <c r="C29" i="10"/>
  <c r="D15" i="13"/>
  <c r="C15" i="13" s="1"/>
  <c r="L544" i="1"/>
  <c r="D127" i="2"/>
  <c r="D128" i="2" s="1"/>
  <c r="D145" i="2" s="1"/>
  <c r="C57" i="2"/>
  <c r="C62" i="2" s="1"/>
  <c r="C63" i="2" s="1"/>
  <c r="F662" i="1"/>
  <c r="C13" i="10"/>
  <c r="L382" i="1"/>
  <c r="G636" i="1" s="1"/>
  <c r="J636" i="1" s="1"/>
  <c r="H25" i="13"/>
  <c r="F81" i="2"/>
  <c r="L614" i="1"/>
  <c r="E112" i="2"/>
  <c r="F56" i="2"/>
  <c r="C21" i="10"/>
  <c r="C12" i="10"/>
  <c r="K503" i="1"/>
  <c r="E109" i="2"/>
  <c r="D5" i="13"/>
  <c r="C5" i="13" s="1"/>
  <c r="J552" i="1"/>
  <c r="D29" i="13"/>
  <c r="C29" i="13" s="1"/>
  <c r="K500" i="1"/>
  <c r="I52" i="1"/>
  <c r="H620" i="1" s="1"/>
  <c r="J620" i="1" s="1"/>
  <c r="C121" i="2"/>
  <c r="G661" i="1"/>
  <c r="D12" i="13"/>
  <c r="C12" i="13" s="1"/>
  <c r="K338" i="1"/>
  <c r="K352" i="1" s="1"/>
  <c r="H52" i="1"/>
  <c r="H619" i="1" s="1"/>
  <c r="J619" i="1" s="1"/>
  <c r="C32" i="10"/>
  <c r="G112" i="1"/>
  <c r="G649" i="1"/>
  <c r="J649" i="1" s="1"/>
  <c r="C124" i="2"/>
  <c r="C120" i="2"/>
  <c r="E8" i="13"/>
  <c r="C8" i="13" s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F104" i="2"/>
  <c r="H193" i="1"/>
  <c r="G169" i="1"/>
  <c r="C39" i="10" s="1"/>
  <c r="G140" i="1"/>
  <c r="F140" i="1"/>
  <c r="J618" i="1"/>
  <c r="G42" i="2"/>
  <c r="G50" i="2" s="1"/>
  <c r="G51" i="2" s="1"/>
  <c r="J51" i="1"/>
  <c r="G16" i="2"/>
  <c r="J19" i="1"/>
  <c r="G621" i="1" s="1"/>
  <c r="G18" i="2"/>
  <c r="F545" i="1"/>
  <c r="H434" i="1"/>
  <c r="D103" i="2"/>
  <c r="I140" i="1"/>
  <c r="I193" i="1" s="1"/>
  <c r="G630" i="1" s="1"/>
  <c r="J630" i="1" s="1"/>
  <c r="A22" i="12"/>
  <c r="J652" i="1"/>
  <c r="G571" i="1"/>
  <c r="I434" i="1"/>
  <c r="G434" i="1"/>
  <c r="I663" i="1"/>
  <c r="G635" i="1" l="1"/>
  <c r="G472" i="1"/>
  <c r="D51" i="2"/>
  <c r="E104" i="2"/>
  <c r="G629" i="1"/>
  <c r="H468" i="1"/>
  <c r="D104" i="2"/>
  <c r="C36" i="10"/>
  <c r="C104" i="2"/>
  <c r="F193" i="1"/>
  <c r="J647" i="1"/>
  <c r="K552" i="1"/>
  <c r="L545" i="1"/>
  <c r="G646" i="1"/>
  <c r="J468" i="1"/>
  <c r="J642" i="1"/>
  <c r="H646" i="1"/>
  <c r="I662" i="1"/>
  <c r="E128" i="2"/>
  <c r="G660" i="1"/>
  <c r="G664" i="1" s="1"/>
  <c r="G672" i="1" s="1"/>
  <c r="C5" i="10" s="1"/>
  <c r="H660" i="1"/>
  <c r="H664" i="1" s="1"/>
  <c r="H667" i="1" s="1"/>
  <c r="L338" i="1"/>
  <c r="L352" i="1" s="1"/>
  <c r="G633" i="1" s="1"/>
  <c r="J633" i="1" s="1"/>
  <c r="E115" i="2"/>
  <c r="C27" i="10"/>
  <c r="C28" i="10" s="1"/>
  <c r="D24" i="10" s="1"/>
  <c r="I661" i="1"/>
  <c r="H648" i="1"/>
  <c r="J648" i="1" s="1"/>
  <c r="L257" i="1"/>
  <c r="L271" i="1" s="1"/>
  <c r="C128" i="2"/>
  <c r="C115" i="2"/>
  <c r="F660" i="1"/>
  <c r="F664" i="1" s="1"/>
  <c r="D31" i="13"/>
  <c r="C31" i="13" s="1"/>
  <c r="C25" i="13"/>
  <c r="H33" i="13"/>
  <c r="F51" i="2"/>
  <c r="E33" i="13"/>
  <c r="D35" i="13" s="1"/>
  <c r="C51" i="2"/>
  <c r="G631" i="1"/>
  <c r="G193" i="1"/>
  <c r="G626" i="1"/>
  <c r="J52" i="1"/>
  <c r="H621" i="1" s="1"/>
  <c r="J621" i="1" s="1"/>
  <c r="C38" i="10"/>
  <c r="G474" i="1" l="1"/>
  <c r="H635" i="1"/>
  <c r="J635" i="1" s="1"/>
  <c r="G632" i="1"/>
  <c r="F472" i="1"/>
  <c r="H629" i="1"/>
  <c r="J629" i="1" s="1"/>
  <c r="H470" i="1"/>
  <c r="H476" i="1" s="1"/>
  <c r="H624" i="1" s="1"/>
  <c r="J624" i="1" s="1"/>
  <c r="G628" i="1"/>
  <c r="G468" i="1"/>
  <c r="G627" i="1"/>
  <c r="F468" i="1"/>
  <c r="J631" i="1"/>
  <c r="J646" i="1"/>
  <c r="H631" i="1"/>
  <c r="J470" i="1"/>
  <c r="J476" i="1" s="1"/>
  <c r="H626" i="1" s="1"/>
  <c r="J626" i="1" s="1"/>
  <c r="H637" i="1"/>
  <c r="J637" i="1" s="1"/>
  <c r="E145" i="2"/>
  <c r="D33" i="13"/>
  <c r="D36" i="13" s="1"/>
  <c r="G667" i="1"/>
  <c r="H672" i="1"/>
  <c r="C6" i="10" s="1"/>
  <c r="C145" i="2"/>
  <c r="I660" i="1"/>
  <c r="I664" i="1" s="1"/>
  <c r="I672" i="1" s="1"/>
  <c r="C7" i="10" s="1"/>
  <c r="D11" i="10"/>
  <c r="D22" i="10"/>
  <c r="D10" i="10"/>
  <c r="D16" i="10"/>
  <c r="C30" i="10"/>
  <c r="D23" i="10"/>
  <c r="D20" i="10"/>
  <c r="D25" i="10"/>
  <c r="D13" i="10"/>
  <c r="D21" i="10"/>
  <c r="D18" i="10"/>
  <c r="D12" i="10"/>
  <c r="D26" i="10"/>
  <c r="D15" i="10"/>
  <c r="D19" i="10"/>
  <c r="D27" i="10"/>
  <c r="D17" i="10"/>
  <c r="F672" i="1"/>
  <c r="C4" i="10" s="1"/>
  <c r="F667" i="1"/>
  <c r="C41" i="10"/>
  <c r="D38" i="10" s="1"/>
  <c r="F474" i="1" l="1"/>
  <c r="H632" i="1"/>
  <c r="J632" i="1" s="1"/>
  <c r="H628" i="1"/>
  <c r="J628" i="1" s="1"/>
  <c r="G470" i="1"/>
  <c r="G476" i="1" s="1"/>
  <c r="H623" i="1" s="1"/>
  <c r="J623" i="1" s="1"/>
  <c r="F470" i="1"/>
  <c r="H627" i="1"/>
  <c r="J627" i="1" s="1"/>
  <c r="I667" i="1"/>
  <c r="D28" i="10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<sst xmlns="http://schemas.openxmlformats.org/spreadsheetml/2006/main" count="3957" uniqueCount="915">
  <si>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</si>
  <si>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</si>
  <si>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</si>
  <si>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</si>
  <si>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</si>
  <si>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</si>
  <si>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</si>
  <si>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</si>
  <si>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</si>
  <si>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</si>
  <si>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</si>
  <si>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</si>
  <si>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</si>
  <si>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</si>
  <si>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</si>
  <si>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</si>
  <si>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</si>
  <si>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</si>
  <si>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</si>
  <si>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</si>
  <si>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</si>
  <si>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</si>
  <si>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</si>
  <si>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</si>
  <si>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</si>
  <si>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</si>
  <si>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</si>
  <si>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</si>
  <si>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</si>
  <si>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</si>
  <si>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</si>
  <si>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</si>
  <si>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</si>
  <si>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</si>
  <si>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</si>
  <si>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</si>
  <si>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</si>
  <si>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</si>
  <si>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</si>
  <si>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</si>
  <si>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</si>
  <si>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</si>
  <si>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</si>
  <si>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</si>
  <si>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</si>
  <si>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</si>
  <si>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</si>
  <si>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</si>
  <si>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</si>
  <si>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</si>
  <si>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</si>
  <si>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</si>
  <si>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</si>
  <si>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</si>
  <si>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</si>
  <si>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</si>
  <si>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</si>
  <si>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</si>
  <si>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</si>
  <si>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</si>
  <si>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</si>
  <si>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</si>
  <si>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</si>
  <si>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</si>
  <si>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</si>
  <si>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</si>
  <si>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</si>
  <si>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</si>
  <si>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</si>
  <si>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</si>
  <si>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</si>
  <si>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</si>
  <si>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</si>
  <si>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</si>
  <si>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</si>
  <si>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</si>
  <si>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</si>
  <si>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</si>
  <si>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</si>
  <si>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</si>
  <si>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</si>
  <si>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</si>
  <si>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</si>
  <si>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</si>
  <si>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</si>
  <si>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</si>
  <si>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</si>
  <si>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</si>
  <si>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</si>
  <si>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</si>
  <si>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</si>
  <si>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</si>
  <si>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</si>
  <si>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</si>
  <si>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</si>
  <si>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</si>
  <si>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</si>
  <si>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</si>
  <si>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</si>
  <si>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</si>
  <si>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</si>
  <si>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</si>
  <si>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</si>
  <si>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</si>
  <si>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</si>
  <si>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</si>
  <si>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</si>
  <si>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</si>
  <si>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</si>
  <si>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</si>
  <si>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</si>
  <si>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</si>
  <si>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</si>
  <si>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</si>
  <si>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</si>
  <si>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</si>
  <si>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</si>
  <si>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</si>
  <si>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</si>
  <si>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</si>
  <si>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</si>
  <si>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</si>
  <si>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</si>
  <si>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</si>
  <si>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</si>
  <si>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</si>
  <si>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</si>
  <si>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</si>
  <si>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</si>
  <si>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</si>
  <si>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</si>
  <si>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</si>
  <si>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</si>
  <si>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</si>
  <si>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</si>
  <si>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</si>
  <si>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</si>
  <si>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</si>
  <si>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</si>
  <si>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</si>
  <si>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</si>
  <si>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</si>
  <si>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</si>
  <si>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</si>
  <si>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</si>
  <si>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</si>
  <si>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</si>
  <si>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</si>
  <si>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</si>
  <si>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</si>
  <si>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</si>
  <si>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</si>
  <si>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</si>
  <si>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</si>
  <si>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</si>
  <si>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</si>
  <si>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</si>
  <si>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</si>
  <si>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</si>
  <si>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</si>
  <si>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</si>
  <si>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</si>
  <si>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</si>
  <si>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</si>
  <si>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</si>
  <si>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</si>
  <si>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</si>
  <si>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</si>
  <si>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</si>
  <si>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</si>
  <si>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</si>
  <si>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</si>
  <si>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</si>
  <si>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</si>
  <si>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</si>
  <si>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</si>
  <si>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</si>
  <si>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</si>
  <si>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</si>
  <si>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</si>
  <si>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</si>
  <si>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</si>
  <si>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</si>
  <si>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</si>
  <si>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</si>
  <si>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</si>
  <si>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</si>
  <si>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</si>
  <si>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</si>
  <si>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</si>
  <si>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</si>
  <si>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</si>
  <si>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</si>
  <si>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</si>
  <si>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</si>
  <si>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</si>
  <si>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</si>
  <si>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</si>
  <si>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</si>
  <si>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</si>
  <si>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</si>
  <si>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</si>
  <si>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</si>
  <si>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</si>
  <si>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</si>
  <si>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</si>
  <si>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</si>
  <si>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</si>
  <si>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</si>
  <si>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</si>
  <si>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</si>
  <si>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</si>
  <si>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</si>
  <si>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</si>
  <si>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</si>
  <si>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</si>
  <si>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</si>
  <si>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</si>
  <si>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</si>
  <si>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</si>
  <si>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</si>
  <si>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</si>
  <si>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</si>
  <si>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</si>
  <si>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</si>
  <si>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</si>
  <si>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</si>
  <si>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</si>
  <si>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</si>
  <si>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</si>
  <si>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</si>
  <si>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</si>
  <si>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</si>
  <si>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</si>
  <si>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</si>
  <si>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</si>
  <si>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</si>
  <si>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</si>
  <si>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</si>
  <si>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</si>
  <si>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</si>
  <si>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</si>
  <si>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</si>
  <si>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</si>
  <si>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</si>
  <si>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</si>
  <si>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</si>
  <si>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</si>
  <si>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</si>
  <si>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</si>
  <si>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</si>
  <si>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</si>
  <si>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</si>
  <si>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</si>
  <si>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</si>
  <si>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</si>
  <si>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</si>
  <si>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</si>
  <si>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</si>
  <si>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</si>
  <si>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</si>
  <si>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</si>
  <si>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</si>
  <si>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</si>
  <si>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</si>
  <si>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</si>
  <si>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</si>
  <si>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</si>
  <si>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</si>
  <si>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</si>
  <si>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</si>
  <si>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</si>
  <si>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</si>
  <si>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</si>
  <si>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</si>
  <si>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</si>
  <si>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</si>
  <si>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</si>
  <si>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</si>
  <si>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</si>
  <si>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</si>
  <si>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</si>
  <si>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</si>
  <si>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</si>
  <si>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</si>
  <si>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</si>
  <si>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</si>
  <si>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</si>
  <si>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</si>
  <si>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</si>
  <si>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</si>
  <si>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</si>
  <si>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</si>
  <si>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</si>
  <si>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</si>
  <si>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</si>
  <si>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</si>
  <si>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</si>
  <si>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</si>
  <si>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</si>
  <si>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</si>
  <si>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</si>
  <si>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</si>
  <si>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</si>
  <si>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</si>
  <si>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</si>
  <si>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</si>
  <si>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</si>
  <si>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</si>
  <si>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</si>
  <si>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</si>
  <si>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</si>
  <si>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</si>
  <si>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</si>
  <si>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</si>
  <si>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</si>
  <si>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</si>
  <si>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</si>
  <si>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</si>
  <si>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</si>
  <si>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</si>
  <si>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</si>
  <si>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</si>
  <si>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</si>
  <si>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</si>
  <si>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</si>
  <si>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</si>
  <si>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</si>
  <si>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</si>
  <si>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</si>
  <si>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</si>
  <si>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</si>
  <si>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</si>
  <si>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</si>
  <si>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</si>
  <si>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</si>
  <si>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</si>
  <si>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</si>
  <si>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</si>
  <si>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</si>
  <si>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</si>
  <si>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</si>
  <si>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</si>
  <si>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</si>
  <si>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</si>
  <si>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</si>
  <si>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</si>
  <si>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</si>
  <si>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</si>
  <si>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</si>
  <si>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</si>
  <si>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</si>
  <si>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</si>
  <si>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</si>
  <si>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</si>
  <si>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</si>
  <si>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</si>
  <si>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</si>
  <si>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</si>
  <si>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</si>
  <si>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</si>
  <si>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</si>
  <si>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</si>
  <si>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</si>
  <si>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</si>
  <si>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</si>
  <si>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</si>
  <si>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</si>
  <si>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</si>
  <si>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</si>
  <si>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</si>
  <si>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</si>
  <si>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</si>
  <si>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</si>
  <si>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</si>
  <si>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</si>
  <si>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</si>
  <si>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</si>
  <si>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</si>
  <si>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</si>
  <si>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</si>
  <si>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</si>
  <si>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</si>
  <si>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</si>
  <si>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</si>
  <si>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</si>
  <si>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</si>
  <si>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</si>
  <si>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</si>
  <si>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</si>
  <si>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</si>
  <si>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</si>
  <si>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</si>
  <si>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</si>
  <si>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</si>
  <si>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</si>
  <si>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</si>
  <si>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</si>
  <si>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</si>
  <si>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</si>
  <si>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</si>
  <si>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</si>
  <si>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</si>
  <si>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</si>
  <si>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</si>
  <si>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</si>
  <si>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</si>
  <si>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</si>
  <si>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</si>
  <si>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</si>
  <si>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</si>
  <si>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</si>
  <si>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</si>
  <si>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</si>
  <si>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</si>
  <si>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</si>
  <si>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</si>
  <si>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</si>
  <si>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</si>
  <si>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</si>
  <si>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</si>
  <si>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</si>
  <si>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</si>
  <si>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</si>
  <si>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</si>
  <si>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</si>
  <si>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</si>
  <si>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</si>
  <si>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</si>
  <si>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</si>
  <si>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</si>
  <si>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</si>
  <si>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</si>
  <si>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</si>
  <si>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</si>
  <si>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</si>
  <si>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</si>
  <si>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</si>
  <si>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</si>
  <si>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</si>
  <si>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</si>
  <si>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</si>
  <si>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</si>
  <si>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</si>
  <si>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</si>
  <si>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</si>
  <si>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</si>
  <si>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</si>
  <si>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</si>
  <si>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</si>
  <si>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</si>
  <si>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</si>
  <si>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</si>
  <si>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</si>
  <si>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</si>
  <si>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</si>
  <si>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</si>
  <si>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</si>
  <si>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</si>
  <si>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</si>
  <si>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</si>
  <si>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</si>
  <si>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</si>
  <si>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</si>
  <si>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</si>
  <si>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</si>
  <si>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</si>
  <si>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</si>
  <si>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</si>
  <si>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</si>
  <si>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</si>
  <si>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</si>
  <si>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</si>
  <si>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</si>
  <si>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</si>
  <si>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</si>
  <si>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</si>
  <si>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</si>
  <si>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</si>
  <si>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</si>
  <si>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</si>
  <si>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</si>
  <si>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</si>
  <si>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</si>
  <si>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</si>
  <si>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</si>
  <si>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</si>
  <si>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</si>
  <si>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</si>
  <si>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</si>
  <si>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</si>
  <si>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</si>
  <si>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</si>
  <si>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</si>
  <si>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</si>
  <si>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</si>
  <si>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</si>
  <si>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</si>
  <si>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</si>
  <si>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</si>
  <si>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</si>
  <si>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</si>
  <si>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</si>
  <si>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</si>
  <si>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</si>
  <si>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</si>
  <si>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</si>
  <si>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</si>
  <si>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</si>
  <si>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</si>
  <si>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</si>
  <si>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</si>
  <si>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</si>
  <si>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</si>
  <si>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</si>
  <si>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</si>
  <si>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</si>
  <si>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</si>
  <si>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</si>
  <si>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</si>
  <si>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</si>
  <si>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</si>
  <si>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</si>
  <si>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</si>
  <si>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</si>
  <si>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</si>
  <si>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</si>
  <si>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</si>
  <si>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</si>
  <si>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</si>
  <si>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</si>
  <si>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</si>
  <si>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</si>
  <si>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</si>
  <si>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</si>
  <si>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</si>
  <si>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</si>
  <si>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</si>
  <si>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</si>
  <si>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</si>
  <si>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</si>
  <si>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</si>
  <si>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</si>
  <si>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</si>
  <si>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</si>
  <si>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</si>
  <si>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</si>
  <si>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</si>
  <si>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</si>
  <si>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</si>
  <si>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</si>
  <si>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</si>
  <si>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</si>
  <si>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</si>
  <si>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</si>
  <si>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</si>
  <si>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</si>
  <si>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</si>
  <si>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</si>
  <si>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</si>
  <si>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</si>
  <si>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</si>
  <si>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</si>
  <si>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</si>
  <si>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</si>
  <si>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</si>
  <si>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</si>
  <si>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</si>
  <si>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</si>
  <si>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</si>
  <si>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</si>
  <si>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</si>
  <si>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</si>
  <si>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</si>
  <si>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</si>
  <si>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</si>
  <si>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</si>
  <si>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</si>
  <si>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</si>
  <si>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</si>
  <si>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</si>
  <si>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</si>
  <si>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</si>
  <si>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</si>
  <si>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</si>
  <si>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</si>
  <si>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</si>
  <si>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</si>
  <si>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</si>
  <si>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</si>
  <si>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</si>
  <si>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</si>
  <si>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</si>
  <si>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</si>
  <si>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</si>
  <si>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</si>
  <si>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</si>
  <si>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</si>
  <si>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</si>
  <si>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</si>
  <si>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</si>
  <si>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</si>
  <si>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</si>
  <si>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</si>
  <si>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</si>
  <si>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</si>
  <si>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</si>
  <si>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</si>
  <si>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</si>
  <si>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</si>
  <si>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</si>
  <si>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</si>
  <si>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</si>
  <si>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</si>
  <si>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</si>
  <si>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</si>
  <si>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</si>
  <si>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</si>
  <si>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</si>
  <si>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</si>
  <si>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</si>
  <si>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</si>
  <si>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</si>
  <si>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</si>
  <si>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</si>
  <si>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</si>
  <si>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</si>
  <si>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</si>
  <si>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</si>
  <si>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</si>
  <si>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</si>
  <si>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</si>
  <si>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</si>
  <si>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</si>
  <si>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</si>
  <si>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</si>
  <si>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</si>
  <si>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</si>
  <si>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</si>
  <si>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</si>
  <si>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</si>
  <si>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</si>
  <si>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</si>
  <si>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</si>
  <si>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</si>
  <si>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</si>
  <si>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</si>
  <si>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</si>
  <si>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</si>
  <si>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</si>
  <si>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</si>
  <si>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</si>
  <si>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</si>
  <si>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</si>
  <si>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</si>
  <si>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</si>
  <si>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</si>
  <si>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</si>
  <si>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</si>
  <si>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</si>
  <si>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</si>
  <si>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</si>
  <si>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</si>
  <si>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</si>
  <si>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</si>
  <si>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</si>
  <si>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</si>
  <si>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</si>
  <si>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</si>
  <si>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</si>
  <si>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</si>
  <si>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</si>
  <si>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</si>
  <si>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</si>
  <si>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</si>
  <si>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</si>
  <si>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</si>
  <si>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</si>
  <si>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</si>
  <si>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</si>
  <si>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</si>
  <si>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</si>
  <si>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</si>
  <si>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</si>
  <si>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</si>
  <si>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</si>
  <si>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</si>
  <si>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</si>
  <si>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</si>
  <si>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</si>
  <si>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</si>
  <si>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</si>
  <si>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</si>
  <si>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</si>
  <si>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</si>
  <si>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</si>
  <si>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</si>
  <si>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</si>
  <si>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</si>
  <si>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</si>
  <si>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</si>
  <si>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</si>
  <si>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</si>
  <si>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</si>
  <si>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</si>
  <si>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</si>
  <si>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</si>
  <si>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</si>
  <si>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</si>
  <si>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</si>
  <si>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</si>
  <si>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</si>
  <si>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</si>
  <si>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</si>
  <si>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</si>
  <si>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</si>
  <si>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</si>
  <si>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</si>
  <si>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</si>
  <si>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</si>
  <si>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</si>
  <si>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</si>
  <si>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</si>
  <si>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</si>
  <si>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</si>
  <si>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</si>
  <si>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</si>
  <si>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</si>
  <si>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</si>
  <si>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</si>
  <si>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</si>
  <si>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</si>
  <si>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</si>
  <si>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</si>
  <si>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</si>
  <si>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</si>
  <si>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</si>
  <si>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</si>
  <si>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</si>
  <si>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</si>
  <si>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</si>
  <si>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</si>
  <si>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</si>
  <si>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</si>
  <si>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</si>
  <si>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</si>
  <si>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</si>
  <si>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</si>
  <si>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</si>
  <si>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</si>
  <si>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</si>
  <si>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</si>
  <si>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</si>
  <si>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</si>
  <si>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</si>
  <si>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</si>
  <si>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</si>
  <si>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</si>
  <si>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</si>
  <si>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</si>
  <si>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</si>
  <si>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</si>
  <si>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</si>
  <si>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</si>
  <si>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</si>
  <si>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</si>
  <si>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</si>
  <si>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</si>
  <si>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</si>
  <si>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</si>
  <si>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</si>
  <si>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</si>
  <si>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</si>
  <si>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</si>
  <si>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</si>
  <si>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</si>
  <si>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</si>
  <si>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</si>
  <si>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</si>
  <si>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</si>
  <si>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</si>
  <si>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</si>
  <si>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</si>
  <si>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</si>
  <si>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</si>
  <si>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</si>
  <si>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</si>
  <si>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</si>
  <si>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</si>
  <si>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</si>
  <si>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</si>
  <si>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</si>
  <si>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</si>
  <si>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</si>
  <si>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</si>
  <si>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</si>
  <si>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</si>
  <si>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</si>
  <si>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</si>
  <si>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</si>
  <si>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</si>
  <si>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</si>
  <si>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</si>
  <si>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</si>
  <si>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</si>
  <si>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</si>
  <si>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</si>
  <si>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</si>
  <si>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</si>
  <si>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</si>
  <si>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</si>
  <si>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</si>
  <si>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</si>
  <si>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</si>
  <si>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</si>
  <si>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</si>
  <si>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</si>
  <si>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</si>
  <si>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</si>
  <si>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</si>
  <si>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</si>
  <si>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</si>
  <si>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</si>
  <si>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</si>
  <si>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</si>
  <si>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</si>
  <si>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</si>
  <si>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</si>
  <si>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</si>
  <si>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</si>
  <si>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</si>
  <si>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</si>
  <si>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</si>
  <si>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</si>
  <si>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</si>
  <si>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</si>
  <si>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</si>
  <si>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</si>
  <si>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</si>
  <si>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</si>
  <si>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</si>
  <si>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</si>
  <si>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</si>
  <si>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</si>
  <si>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</si>
  <si>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</si>
  <si>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</si>
  <si>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</si>
  <si>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</si>
  <si>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</si>
  <si>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</si>
  <si>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</si>
  <si>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</si>
  <si>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</si>
  <si>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</si>
  <si>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</si>
  <si>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</si>
  <si>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</si>
  <si>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</si>
  <si>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</si>
  <si>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</si>
  <si>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</si>
  <si>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</si>
  <si>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</si>
  <si>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</si>
  <si>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</si>
  <si>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</si>
  <si>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</si>
  <si>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</si>
  <si>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</si>
  <si>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</si>
  <si>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</si>
  <si>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</si>
  <si>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</si>
  <si>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</si>
  <si>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</si>
  <si>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</si>
  <si>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</si>
  <si>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</si>
  <si>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</si>
  <si>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</si>
  <si>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</si>
  <si>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</si>
  <si>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</si>
  <si>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</si>
  <si>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</si>
  <si>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</si>
  <si>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</si>
  <si>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</si>
  <si>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</si>
  <si>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</si>
  <si>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</si>
  <si>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</si>
  <si>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</si>
  <si>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</si>
  <si>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</si>
  <si>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</si>
  <si>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</si>
  <si>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</si>
  <si>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</si>
  <si>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</si>
  <si>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</si>
  <si>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</si>
  <si>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</si>
  <si>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</si>
  <si>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</si>
  <si>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</si>
  <si>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</si>
  <si>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</si>
  <si>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</si>
  <si>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</si>
  <si>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</si>
  <si>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MERRIMACK VALLEY SCHOOL DISTRICT</t>
  </si>
  <si>
    <t>Adjustments made after filing 2015 DOE25</t>
  </si>
  <si>
    <t>Fund closed in 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</si>
</sst>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352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1831969</f>
        <v>1831969</v>
      </c>
      <c r="G9" s="18">
        <v>25432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2333+32279</f>
        <v>34612</v>
      </c>
      <c r="G10" s="18"/>
      <c r="H10" s="18"/>
      <c r="I10" s="18"/>
      <c r="J10" s="67">
        <f>SUM(I440)</f>
        <v>571646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f>185428</f>
        <v>185428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416842-76857</f>
        <v>339985</v>
      </c>
      <c r="G12" s="18"/>
      <c r="H12" s="18">
        <f>7414+14524</f>
        <v>21938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97250</v>
      </c>
      <c r="G13" s="18">
        <v>26414</v>
      </c>
      <c r="H13" s="18">
        <f>296694+1964-420</f>
        <v>298238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-14557+1501-575+16692</f>
        <v>3061</v>
      </c>
      <c r="G14" s="18">
        <v>478</v>
      </c>
      <c r="H14" s="18">
        <v>14790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f>7904+9050+2555</f>
        <v>19509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2492305</v>
      </c>
      <c r="G19" s="41">
        <f>SUM(G9:G18)</f>
        <v>71833</v>
      </c>
      <c r="H19" s="41">
        <f>SUM(H9:H18)</f>
        <v>334966</v>
      </c>
      <c r="I19" s="41">
        <f>SUM(I9:I18)</f>
        <v>0</v>
      </c>
      <c r="J19" s="41">
        <f>SUM(J9:J18)</f>
        <v>571646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f>146134-76857</f>
        <v>69277</v>
      </c>
      <c r="H22" s="18">
        <f>283048+9598</f>
        <v>292646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201969</v>
      </c>
      <c r="G24" s="18">
        <v>2556</v>
      </c>
      <c r="H24" s="18">
        <f>1817</f>
        <v>1817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30+1171966+11348+594-120+150+14+645-2529</f>
        <v>1182098</v>
      </c>
      <c r="G28" s="18"/>
      <c r="H28" s="18">
        <f>24018+1614</f>
        <v>25632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75282</v>
      </c>
      <c r="G30" s="18"/>
      <c r="H30" s="18">
        <f>19761+4778-1</f>
        <v>24538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1459349</v>
      </c>
      <c r="G32" s="41">
        <f>SUM(G22:G31)</f>
        <v>71833</v>
      </c>
      <c r="H32" s="41">
        <f>SUM(H22:H31)</f>
        <v>344633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19509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-96366+76857</f>
        <v>-19509</v>
      </c>
      <c r="H48" s="18">
        <v>-9667</v>
      </c>
      <c r="I48" s="18"/>
      <c r="J48" s="13">
        <f>SUM(I459)</f>
        <v>571646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1735692-76857-550597-75282</f>
        <v>1032956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1032956</v>
      </c>
      <c r="G51" s="41">
        <f>SUM(G35:G50)</f>
        <v>0</v>
      </c>
      <c r="H51" s="41">
        <f>SUM(H35:H50)</f>
        <v>-9667</v>
      </c>
      <c r="I51" s="41">
        <f>SUM(I35:I50)</f>
        <v>0</v>
      </c>
      <c r="J51" s="41">
        <f>SUM(J35:J50)</f>
        <v>571646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2492305</v>
      </c>
      <c r="G52" s="41">
        <f>G51+G32</f>
        <v>71833</v>
      </c>
      <c r="H52" s="41">
        <f>H51+H32</f>
        <v>334966</v>
      </c>
      <c r="I52" s="41">
        <f>I51+I32</f>
        <v>0</v>
      </c>
      <c r="J52" s="41">
        <f>J51+J32</f>
        <v>571646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7084584+3622976+6487744+1805345+2642696-550597</f>
        <v>21092748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21092748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707602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117220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824822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3+106</f>
        <v>109</v>
      </c>
      <c r="G96" s="18">
        <v>187</v>
      </c>
      <c r="H96" s="18"/>
      <c r="I96" s="18"/>
      <c r="J96" s="18">
        <f>2586+8227</f>
        <v>10813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12177+50682+25907+61092+17513+13304+152833+281263</f>
        <v>614771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>
        <v>39889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47515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3727+79627-2+16692-75282</f>
        <v>24762</v>
      </c>
      <c r="G110" s="18">
        <v>20029</v>
      </c>
      <c r="H110" s="18"/>
      <c r="I110" s="18"/>
      <c r="J110" s="18">
        <v>5248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72386</v>
      </c>
      <c r="G111" s="41">
        <f>SUM(G96:G110)</f>
        <v>634987</v>
      </c>
      <c r="H111" s="41">
        <f>SUM(H96:H110)</f>
        <v>39889</v>
      </c>
      <c r="I111" s="41">
        <f>SUM(I96:I110)</f>
        <v>0</v>
      </c>
      <c r="J111" s="41">
        <f>SUM(J96:J110)</f>
        <v>16061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21989956</v>
      </c>
      <c r="G112" s="41">
        <f>G60+G111</f>
        <v>634987</v>
      </c>
      <c r="H112" s="41">
        <f>H60+H79+H94+H111</f>
        <v>39889</v>
      </c>
      <c r="I112" s="41">
        <f>I60+I111</f>
        <v>0</v>
      </c>
      <c r="J112" s="41">
        <f>J60+J111</f>
        <v>16061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10552205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3238794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13790999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19975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218027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22545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15039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260547</v>
      </c>
      <c r="G136" s="41">
        <f>SUM(G123:G135)</f>
        <v>15039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14051546</v>
      </c>
      <c r="G140" s="41">
        <f>G121+SUM(G136:G137)</f>
        <v>15039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470601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425138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547510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437632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36171</v>
      </c>
      <c r="G161" s="18">
        <v>11598</v>
      </c>
      <c r="H161" s="18">
        <f>151220+27469+39805</f>
        <v>218494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473803</v>
      </c>
      <c r="G162" s="41">
        <f>SUM(G150:G161)</f>
        <v>436736</v>
      </c>
      <c r="H162" s="41">
        <f>SUM(H150:H161)</f>
        <v>1236605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473803</v>
      </c>
      <c r="G169" s="41">
        <f>G147+G162+SUM(G163:G168)</f>
        <v>436736</v>
      </c>
      <c r="H169" s="41">
        <f>H147+H162+SUM(H163:H168)</f>
        <v>1236605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76857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76857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76857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36515305</v>
      </c>
      <c r="G193" s="47">
        <f>G112+G140+G169+G192</f>
        <v>1163619</v>
      </c>
      <c r="H193" s="47">
        <f>H112+H140+H169+H192</f>
        <v>1276494</v>
      </c>
      <c r="I193" s="47">
        <f>I112+I140+I169+I192</f>
        <v>0</v>
      </c>
      <c r="J193" s="47">
        <f>J112+J140+J192</f>
        <v>16061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4264283+122246</f>
        <v>4386529</v>
      </c>
      <c r="G197" s="18">
        <f>40015+1912094-40015</f>
        <v>1912094</v>
      </c>
      <c r="H197" s="18">
        <f>8862</f>
        <v>8862</v>
      </c>
      <c r="I197" s="18">
        <f>107839+60258</f>
        <v>168097</v>
      </c>
      <c r="J197" s="18">
        <f>15937+28</f>
        <v>15965</v>
      </c>
      <c r="K197" s="18"/>
      <c r="L197" s="19">
        <f>SUM(F197:K197)</f>
        <v>6491547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1641481+54743</f>
        <v>1696224</v>
      </c>
      <c r="G198" s="18">
        <f>870788</f>
        <v>870788</v>
      </c>
      <c r="H198" s="18">
        <f>339997+64766</f>
        <v>404763</v>
      </c>
      <c r="I198" s="18">
        <f>3173+2282</f>
        <v>5455</v>
      </c>
      <c r="J198" s="18">
        <f>1402</f>
        <v>1402</v>
      </c>
      <c r="K198" s="18"/>
      <c r="L198" s="19">
        <f>SUM(F198:K198)</f>
        <v>2978632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19900</f>
        <v>19900</v>
      </c>
      <c r="G200" s="18">
        <f>38404</f>
        <v>38404</v>
      </c>
      <c r="H200" s="18"/>
      <c r="I200" s="18"/>
      <c r="J200" s="18"/>
      <c r="K200" s="18"/>
      <c r="L200" s="19">
        <f>SUM(F200:K200)</f>
        <v>58304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642014+463150</f>
        <v>1105164</v>
      </c>
      <c r="G202" s="18">
        <f>542157</f>
        <v>542157</v>
      </c>
      <c r="H202" s="18">
        <f>218238+20288</f>
        <v>238526</v>
      </c>
      <c r="I202" s="18">
        <f>5936</f>
        <v>5936</v>
      </c>
      <c r="J202" s="18">
        <f>86</f>
        <v>86</v>
      </c>
      <c r="K202" s="18">
        <f>616</f>
        <v>616</v>
      </c>
      <c r="L202" s="19">
        <f t="shared" ref="L202:L208" si="0">SUM(F202:K202)</f>
        <v>1892485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87479+185819</f>
        <v>273298</v>
      </c>
      <c r="G203" s="18">
        <f>158950</f>
        <v>158950</v>
      </c>
      <c r="H203" s="18">
        <f>200+56040</f>
        <v>56240</v>
      </c>
      <c r="I203" s="18">
        <f>6668+12967</f>
        <v>19635</v>
      </c>
      <c r="J203" s="18">
        <f>60210</f>
        <v>60210</v>
      </c>
      <c r="K203" s="18"/>
      <c r="L203" s="19">
        <f t="shared" si="0"/>
        <v>568333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20610</f>
        <v>20610</v>
      </c>
      <c r="G204" s="18">
        <f>10243</f>
        <v>10243</v>
      </c>
      <c r="H204" s="18">
        <f>1180+386511</f>
        <v>387691</v>
      </c>
      <c r="I204" s="18">
        <f>1741</f>
        <v>1741</v>
      </c>
      <c r="J204" s="18"/>
      <c r="K204" s="18">
        <f>2404</f>
        <v>2404</v>
      </c>
      <c r="L204" s="19">
        <f t="shared" si="0"/>
        <v>422689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602469</f>
        <v>602469</v>
      </c>
      <c r="G205" s="18">
        <f>248152</f>
        <v>248152</v>
      </c>
      <c r="H205" s="18">
        <f>30038</f>
        <v>30038</v>
      </c>
      <c r="I205" s="18">
        <f>1041+3491</f>
        <v>4532</v>
      </c>
      <c r="J205" s="18">
        <f>25718</f>
        <v>25718</v>
      </c>
      <c r="K205" s="18">
        <f>4039</f>
        <v>4039</v>
      </c>
      <c r="L205" s="19">
        <f t="shared" si="0"/>
        <v>914948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398495+240741</f>
        <v>639236</v>
      </c>
      <c r="G207" s="18">
        <f>286208</f>
        <v>286208</v>
      </c>
      <c r="H207" s="18">
        <f>125819+221482</f>
        <v>347301</v>
      </c>
      <c r="I207" s="18">
        <f>438306+51925</f>
        <v>490231</v>
      </c>
      <c r="J207" s="18">
        <f>26776</f>
        <v>26776</v>
      </c>
      <c r="K207" s="18"/>
      <c r="L207" s="19">
        <f t="shared" si="0"/>
        <v>1789752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48622+392727</f>
        <v>441349</v>
      </c>
      <c r="G208" s="18">
        <f>203929</f>
        <v>203929</v>
      </c>
      <c r="H208" s="18">
        <f>119037</f>
        <v>119037</v>
      </c>
      <c r="I208" s="18">
        <f>80789</f>
        <v>80789</v>
      </c>
      <c r="J208" s="18">
        <f>38447</f>
        <v>38447</v>
      </c>
      <c r="K208" s="18">
        <f>265</f>
        <v>265</v>
      </c>
      <c r="L208" s="19">
        <f t="shared" si="0"/>
        <v>883816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9184779</v>
      </c>
      <c r="G211" s="41">
        <f t="shared" si="1"/>
        <v>4270925</v>
      </c>
      <c r="H211" s="41">
        <f t="shared" si="1"/>
        <v>1592458</v>
      </c>
      <c r="I211" s="41">
        <f t="shared" si="1"/>
        <v>776416</v>
      </c>
      <c r="J211" s="41">
        <f t="shared" si="1"/>
        <v>168604</v>
      </c>
      <c r="K211" s="41">
        <f t="shared" si="1"/>
        <v>7324</v>
      </c>
      <c r="L211" s="41">
        <f t="shared" si="1"/>
        <v>16000506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2240178+67582</f>
        <v>2307760</v>
      </c>
      <c r="G215" s="18">
        <f>1057069</f>
        <v>1057069</v>
      </c>
      <c r="H215" s="18">
        <f>2529</f>
        <v>2529</v>
      </c>
      <c r="I215" s="18">
        <f>25032+33313</f>
        <v>58345</v>
      </c>
      <c r="J215" s="18">
        <f>32605+15</f>
        <v>32620</v>
      </c>
      <c r="K215" s="18"/>
      <c r="L215" s="19">
        <f>SUM(F215:K215)</f>
        <v>3458323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799815+30264</f>
        <v>830079</v>
      </c>
      <c r="G216" s="18">
        <f>481401</f>
        <v>481401</v>
      </c>
      <c r="H216" s="18">
        <f>270234+35805</f>
        <v>306039</v>
      </c>
      <c r="I216" s="18">
        <f>2985+1262</f>
        <v>4247</v>
      </c>
      <c r="J216" s="18">
        <f>506+775</f>
        <v>1281</v>
      </c>
      <c r="K216" s="18"/>
      <c r="L216" s="19">
        <f>SUM(F216:K216)</f>
        <v>1623047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69056</f>
        <v>69056</v>
      </c>
      <c r="G218" s="18">
        <f>21231</f>
        <v>21231</v>
      </c>
      <c r="H218" s="18"/>
      <c r="I218" s="18">
        <f>36000</f>
        <v>36000</v>
      </c>
      <c r="J218" s="18"/>
      <c r="K218" s="18"/>
      <c r="L218" s="19">
        <f>SUM(F218:K218)</f>
        <v>126287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389055+256045</f>
        <v>645100</v>
      </c>
      <c r="G220" s="18">
        <f>299722</f>
        <v>299722</v>
      </c>
      <c r="H220" s="18">
        <f>58107+11216</f>
        <v>69323</v>
      </c>
      <c r="I220" s="18">
        <f>2439</f>
        <v>2439</v>
      </c>
      <c r="J220" s="18">
        <f>894+48</f>
        <v>942</v>
      </c>
      <c r="K220" s="18">
        <f>340</f>
        <v>340</v>
      </c>
      <c r="L220" s="19">
        <f t="shared" ref="L220:L226" si="2">SUM(F220:K220)</f>
        <v>1017866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78529+102727</f>
        <v>181256</v>
      </c>
      <c r="G221" s="18">
        <f>87873</f>
        <v>87873</v>
      </c>
      <c r="H221" s="18">
        <f>30981</f>
        <v>30981</v>
      </c>
      <c r="I221" s="18">
        <f>9861+7169</f>
        <v>17030</v>
      </c>
      <c r="J221" s="18">
        <f>1218+33286</f>
        <v>34504</v>
      </c>
      <c r="K221" s="18"/>
      <c r="L221" s="19">
        <f t="shared" si="2"/>
        <v>351644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11394</f>
        <v>11394</v>
      </c>
      <c r="G222" s="18">
        <f>5663</f>
        <v>5663</v>
      </c>
      <c r="H222" s="18">
        <f>213676</f>
        <v>213676</v>
      </c>
      <c r="I222" s="18">
        <f>963</f>
        <v>963</v>
      </c>
      <c r="J222" s="18"/>
      <c r="K222" s="18">
        <f>1329</f>
        <v>1329</v>
      </c>
      <c r="L222" s="19">
        <f t="shared" si="2"/>
        <v>233025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288854</f>
        <v>288854</v>
      </c>
      <c r="G223" s="18">
        <f>137186</f>
        <v>137186</v>
      </c>
      <c r="H223" s="18">
        <f>15132</f>
        <v>15132</v>
      </c>
      <c r="I223" s="18">
        <f>186+1930</f>
        <v>2116</v>
      </c>
      <c r="J223" s="18">
        <f>14218</f>
        <v>14218</v>
      </c>
      <c r="K223" s="18">
        <f>1489</f>
        <v>1489</v>
      </c>
      <c r="L223" s="19">
        <f t="shared" si="2"/>
        <v>458995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124614+133090</f>
        <v>257704</v>
      </c>
      <c r="G225" s="18">
        <f>158225</f>
        <v>158225</v>
      </c>
      <c r="H225" s="18">
        <f>65747+122443</f>
        <v>188190</v>
      </c>
      <c r="I225" s="18">
        <f>106283+28706</f>
        <v>134989</v>
      </c>
      <c r="J225" s="18">
        <f>14803</f>
        <v>14803</v>
      </c>
      <c r="K225" s="18"/>
      <c r="L225" s="19">
        <f t="shared" si="2"/>
        <v>753911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9434+217113</f>
        <v>226547</v>
      </c>
      <c r="G226" s="18">
        <f>112739</f>
        <v>112739</v>
      </c>
      <c r="H226" s="18">
        <f>65808</f>
        <v>65808</v>
      </c>
      <c r="I226" s="18">
        <f>44663</f>
        <v>44663</v>
      </c>
      <c r="J226" s="18">
        <f>21255</f>
        <v>21255</v>
      </c>
      <c r="K226" s="18">
        <f>146</f>
        <v>146</v>
      </c>
      <c r="L226" s="19">
        <f t="shared" si="2"/>
        <v>471158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4817750</v>
      </c>
      <c r="G229" s="41">
        <f>SUM(G215:G228)</f>
        <v>2361109</v>
      </c>
      <c r="H229" s="41">
        <f>SUM(H215:H228)</f>
        <v>891678</v>
      </c>
      <c r="I229" s="41">
        <f>SUM(I215:I228)</f>
        <v>300792</v>
      </c>
      <c r="J229" s="41">
        <f>SUM(J215:J228)</f>
        <v>119623</v>
      </c>
      <c r="K229" s="41">
        <f t="shared" si="3"/>
        <v>3304</v>
      </c>
      <c r="L229" s="41">
        <f t="shared" si="3"/>
        <v>8494256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2341124+94029</f>
        <v>2435153</v>
      </c>
      <c r="G233" s="18">
        <v>1470743</v>
      </c>
      <c r="H233" s="18">
        <f>11277</f>
        <v>11277</v>
      </c>
      <c r="I233" s="18">
        <f>99281+46349</f>
        <v>145630</v>
      </c>
      <c r="J233" s="18">
        <f>17873+22</f>
        <v>17895</v>
      </c>
      <c r="K233" s="18"/>
      <c r="L233" s="19">
        <f>SUM(F233:K233)</f>
        <v>4080698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1146550+42108</f>
        <v>1188658</v>
      </c>
      <c r="G234" s="18">
        <f>669792</f>
        <v>669792</v>
      </c>
      <c r="H234" s="18">
        <f>587611+49817</f>
        <v>637428</v>
      </c>
      <c r="I234" s="18">
        <f>4595+1755</f>
        <v>6350</v>
      </c>
      <c r="J234" s="18">
        <f>511+1078</f>
        <v>1589</v>
      </c>
      <c r="K234" s="18"/>
      <c r="L234" s="19">
        <f>SUM(F234:K234)</f>
        <v>2503817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228702</f>
        <v>228702</v>
      </c>
      <c r="I235" s="18"/>
      <c r="J235" s="18"/>
      <c r="K235" s="18"/>
      <c r="L235" s="19">
        <f>SUM(F235:K235)</f>
        <v>228702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266857</f>
        <v>266857</v>
      </c>
      <c r="G236" s="18">
        <f>29540</f>
        <v>29540</v>
      </c>
      <c r="H236" s="18">
        <f>31472</f>
        <v>31472</v>
      </c>
      <c r="I236" s="18">
        <f>36624</f>
        <v>36624</v>
      </c>
      <c r="J236" s="18"/>
      <c r="K236" s="18">
        <f>5510</f>
        <v>5510</v>
      </c>
      <c r="L236" s="19">
        <f>SUM(F236:K236)</f>
        <v>370003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429141+356245</f>
        <v>785386</v>
      </c>
      <c r="G238" s="18">
        <f>417016</f>
        <v>417016</v>
      </c>
      <c r="H238" s="18">
        <f>258713+15605</f>
        <v>274318</v>
      </c>
      <c r="I238" s="18">
        <f>6044</f>
        <v>6044</v>
      </c>
      <c r="J238" s="18">
        <f>66</f>
        <v>66</v>
      </c>
      <c r="K238" s="18">
        <f>474</f>
        <v>474</v>
      </c>
      <c r="L238" s="19">
        <f t="shared" ref="L238:L244" si="4">SUM(F238:K238)</f>
        <v>1483304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53443+142928</f>
        <v>196371</v>
      </c>
      <c r="G239" s="18">
        <f>122261</f>
        <v>122261</v>
      </c>
      <c r="H239" s="18">
        <f>43105</f>
        <v>43105</v>
      </c>
      <c r="I239" s="18">
        <f>12595+9974</f>
        <v>22569</v>
      </c>
      <c r="J239" s="18">
        <f>1608+46312</f>
        <v>47920</v>
      </c>
      <c r="K239" s="18"/>
      <c r="L239" s="19">
        <f t="shared" si="4"/>
        <v>432226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15853</f>
        <v>15853</v>
      </c>
      <c r="G240" s="18">
        <f>7879</f>
        <v>7879</v>
      </c>
      <c r="H240" s="18">
        <f>476+297296</f>
        <v>297772</v>
      </c>
      <c r="I240" s="18">
        <f>1339</f>
        <v>1339</v>
      </c>
      <c r="J240" s="18"/>
      <c r="K240" s="18">
        <f>1849</f>
        <v>1849</v>
      </c>
      <c r="L240" s="19">
        <f t="shared" si="4"/>
        <v>324692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368851</f>
        <v>368851</v>
      </c>
      <c r="G241" s="18">
        <f>190873</f>
        <v>190873</v>
      </c>
      <c r="H241" s="18">
        <f>27169</f>
        <v>27169</v>
      </c>
      <c r="I241" s="18">
        <f>21+2686</f>
        <v>2707</v>
      </c>
      <c r="J241" s="18">
        <f>19781</f>
        <v>19781</v>
      </c>
      <c r="K241" s="18">
        <f>16084</f>
        <v>16084</v>
      </c>
      <c r="L241" s="19">
        <f t="shared" si="4"/>
        <v>625465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232252+185173</f>
        <v>417425</v>
      </c>
      <c r="G243" s="18">
        <f>220145</f>
        <v>220145</v>
      </c>
      <c r="H243" s="18">
        <f>82927+170359</f>
        <v>253286</v>
      </c>
      <c r="I243" s="18">
        <f>147830+39939+39</f>
        <v>187808</v>
      </c>
      <c r="J243" s="18">
        <f>20596</f>
        <v>20596</v>
      </c>
      <c r="K243" s="18"/>
      <c r="L243" s="19">
        <f t="shared" si="4"/>
        <v>1099260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54591+302077</f>
        <v>356668</v>
      </c>
      <c r="G244" s="18">
        <f>156858</f>
        <v>156858</v>
      </c>
      <c r="H244" s="18">
        <f>91561</f>
        <v>91561</v>
      </c>
      <c r="I244" s="18">
        <f>62101</f>
        <v>62101</v>
      </c>
      <c r="J244" s="18">
        <f>29573</f>
        <v>29573</v>
      </c>
      <c r="K244" s="18">
        <f>204</f>
        <v>204</v>
      </c>
      <c r="L244" s="19">
        <f t="shared" si="4"/>
        <v>696965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6031222</v>
      </c>
      <c r="G247" s="41">
        <f t="shared" si="5"/>
        <v>3285107</v>
      </c>
      <c r="H247" s="41">
        <f t="shared" si="5"/>
        <v>1896090</v>
      </c>
      <c r="I247" s="41">
        <f t="shared" si="5"/>
        <v>471172</v>
      </c>
      <c r="J247" s="41">
        <f t="shared" si="5"/>
        <v>137420</v>
      </c>
      <c r="K247" s="41">
        <f t="shared" si="5"/>
        <v>24121</v>
      </c>
      <c r="L247" s="41">
        <f t="shared" si="5"/>
        <v>11845132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299675</v>
      </c>
      <c r="I255" s="18"/>
      <c r="J255" s="18"/>
      <c r="K255" s="18"/>
      <c r="L255" s="19">
        <f t="shared" si="6"/>
        <v>299675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299675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299675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20033751</v>
      </c>
      <c r="G257" s="41">
        <f t="shared" si="8"/>
        <v>9917141</v>
      </c>
      <c r="H257" s="41">
        <f t="shared" si="8"/>
        <v>4679901</v>
      </c>
      <c r="I257" s="41">
        <f t="shared" si="8"/>
        <v>1548380</v>
      </c>
      <c r="J257" s="41">
        <f t="shared" si="8"/>
        <v>425647</v>
      </c>
      <c r="K257" s="41">
        <f t="shared" si="8"/>
        <v>34749</v>
      </c>
      <c r="L257" s="41">
        <f t="shared" si="8"/>
        <v>36639569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76857</v>
      </c>
      <c r="L263" s="19">
        <f>SUM(F263:K263)</f>
        <v>76857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76857</v>
      </c>
      <c r="L270" s="41">
        <f t="shared" si="9"/>
        <v>76857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20033751</v>
      </c>
      <c r="G271" s="42">
        <f t="shared" si="11"/>
        <v>9917141</v>
      </c>
      <c r="H271" s="42">
        <f t="shared" si="11"/>
        <v>4679901</v>
      </c>
      <c r="I271" s="42">
        <f t="shared" si="11"/>
        <v>1548380</v>
      </c>
      <c r="J271" s="42">
        <f t="shared" si="11"/>
        <v>425647</v>
      </c>
      <c r="K271" s="42">
        <f t="shared" si="11"/>
        <v>111606</v>
      </c>
      <c r="L271" s="42">
        <f t="shared" si="11"/>
        <v>36716426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237527+2273</f>
        <v>239800</v>
      </c>
      <c r="G276" s="18">
        <f>49127</f>
        <v>49127</v>
      </c>
      <c r="H276" s="18">
        <f>770+172</f>
        <v>942</v>
      </c>
      <c r="I276" s="18">
        <f>3187+2976</f>
        <v>6163</v>
      </c>
      <c r="J276" s="18">
        <f>14878</f>
        <v>14878</v>
      </c>
      <c r="K276" s="18"/>
      <c r="L276" s="19">
        <f>SUM(F276:K276)</f>
        <v>310910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57792+27169</f>
        <v>84961</v>
      </c>
      <c r="G277" s="18">
        <f>38285</f>
        <v>38285</v>
      </c>
      <c r="H277" s="18"/>
      <c r="I277" s="18">
        <f>6401</f>
        <v>6401</v>
      </c>
      <c r="J277" s="18">
        <f>8834</f>
        <v>8834</v>
      </c>
      <c r="K277" s="18"/>
      <c r="L277" s="19">
        <f>SUM(F277:K277)</f>
        <v>138481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16769</f>
        <v>16769</v>
      </c>
      <c r="G279" s="18">
        <f>1567</f>
        <v>1567</v>
      </c>
      <c r="H279" s="18">
        <f>487</f>
        <v>487</v>
      </c>
      <c r="I279" s="18">
        <f>2626+125</f>
        <v>2751</v>
      </c>
      <c r="J279" s="18"/>
      <c r="K279" s="18"/>
      <c r="L279" s="19">
        <f>SUM(F279:K279)</f>
        <v>21574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68614</f>
        <v>68614</v>
      </c>
      <c r="G281" s="18">
        <f>21740</f>
        <v>21740</v>
      </c>
      <c r="H281" s="18"/>
      <c r="I281" s="18"/>
      <c r="J281" s="18"/>
      <c r="K281" s="18"/>
      <c r="L281" s="19">
        <f t="shared" ref="L281:L287" si="12">SUM(F281:K281)</f>
        <v>90354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14656</v>
      </c>
      <c r="G282" s="18">
        <f>8222</f>
        <v>8222</v>
      </c>
      <c r="H282" s="18">
        <f>58417</f>
        <v>58417</v>
      </c>
      <c r="I282" s="18"/>
      <c r="J282" s="18"/>
      <c r="K282" s="18"/>
      <c r="L282" s="19">
        <f t="shared" si="12"/>
        <v>81295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2855</v>
      </c>
      <c r="L285" s="19">
        <f t="shared" si="12"/>
        <v>2855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1448</v>
      </c>
      <c r="I287" s="18"/>
      <c r="J287" s="18"/>
      <c r="K287" s="18"/>
      <c r="L287" s="19">
        <f t="shared" si="12"/>
        <v>1448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424800</v>
      </c>
      <c r="G290" s="42">
        <f t="shared" si="13"/>
        <v>118941</v>
      </c>
      <c r="H290" s="42">
        <f t="shared" si="13"/>
        <v>61294</v>
      </c>
      <c r="I290" s="42">
        <f t="shared" si="13"/>
        <v>15315</v>
      </c>
      <c r="J290" s="42">
        <f t="shared" si="13"/>
        <v>23712</v>
      </c>
      <c r="K290" s="42">
        <f t="shared" si="13"/>
        <v>2855</v>
      </c>
      <c r="L290" s="41">
        <f t="shared" si="13"/>
        <v>646917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1257</f>
        <v>1257</v>
      </c>
      <c r="G295" s="18">
        <v>27159</v>
      </c>
      <c r="H295" s="18">
        <f>95</f>
        <v>95</v>
      </c>
      <c r="I295" s="18">
        <f>1645</f>
        <v>1645</v>
      </c>
      <c r="J295" s="18"/>
      <c r="K295" s="18"/>
      <c r="L295" s="19">
        <f>SUM(F295:K295)</f>
        <v>30156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97717+15020</f>
        <v>112737</v>
      </c>
      <c r="G296" s="18">
        <f>21165</f>
        <v>21165</v>
      </c>
      <c r="H296" s="18"/>
      <c r="I296" s="18">
        <f>298+3539</f>
        <v>3837</v>
      </c>
      <c r="J296" s="18">
        <f>4884</f>
        <v>4884</v>
      </c>
      <c r="K296" s="18"/>
      <c r="L296" s="19">
        <f>SUM(F296:K296)</f>
        <v>142623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>
        <f>866</f>
        <v>866</v>
      </c>
      <c r="H298" s="18">
        <f>269</f>
        <v>269</v>
      </c>
      <c r="I298" s="18">
        <f>69</f>
        <v>69</v>
      </c>
      <c r="J298" s="18"/>
      <c r="K298" s="18"/>
      <c r="L298" s="19">
        <f>SUM(F298:K298)</f>
        <v>1204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37932</f>
        <v>37932</v>
      </c>
      <c r="G300" s="18">
        <f>12018</f>
        <v>12018</v>
      </c>
      <c r="H300" s="18"/>
      <c r="I300" s="18"/>
      <c r="J300" s="18"/>
      <c r="K300" s="18"/>
      <c r="L300" s="19">
        <f t="shared" ref="L300:L306" si="14">SUM(F300:K300)</f>
        <v>49950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8102</f>
        <v>8102</v>
      </c>
      <c r="G301" s="18">
        <f>4546</f>
        <v>4546</v>
      </c>
      <c r="H301" s="18">
        <f>32295</f>
        <v>32295</v>
      </c>
      <c r="I301" s="18"/>
      <c r="J301" s="18"/>
      <c r="K301" s="18"/>
      <c r="L301" s="19">
        <f t="shared" si="14"/>
        <v>44943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1579</v>
      </c>
      <c r="L304" s="19">
        <f t="shared" si="14"/>
        <v>1579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800</v>
      </c>
      <c r="I306" s="18"/>
      <c r="J306" s="18"/>
      <c r="K306" s="18"/>
      <c r="L306" s="19">
        <f t="shared" si="14"/>
        <v>800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160028</v>
      </c>
      <c r="G309" s="42">
        <f t="shared" si="15"/>
        <v>65754</v>
      </c>
      <c r="H309" s="42">
        <f t="shared" si="15"/>
        <v>33459</v>
      </c>
      <c r="I309" s="42">
        <f t="shared" si="15"/>
        <v>5551</v>
      </c>
      <c r="J309" s="42">
        <f t="shared" si="15"/>
        <v>4884</v>
      </c>
      <c r="K309" s="42">
        <f t="shared" si="15"/>
        <v>1579</v>
      </c>
      <c r="L309" s="41">
        <f t="shared" si="15"/>
        <v>271255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1749</f>
        <v>1749</v>
      </c>
      <c r="G314" s="18">
        <v>37787</v>
      </c>
      <c r="H314" s="18">
        <f>133</f>
        <v>133</v>
      </c>
      <c r="I314" s="18">
        <f>2289</f>
        <v>2289</v>
      </c>
      <c r="J314" s="18"/>
      <c r="K314" s="18"/>
      <c r="L314" s="19">
        <f>SUM(F314:K314)</f>
        <v>41958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20898</f>
        <v>20898</v>
      </c>
      <c r="G315" s="18">
        <f>29448</f>
        <v>29448</v>
      </c>
      <c r="H315" s="18"/>
      <c r="I315" s="18">
        <f>214+4923</f>
        <v>5137</v>
      </c>
      <c r="J315" s="18">
        <f>6795</f>
        <v>6795</v>
      </c>
      <c r="K315" s="18"/>
      <c r="L315" s="19">
        <f>SUM(F315:K315)</f>
        <v>62278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>
        <f>1205</f>
        <v>1205</v>
      </c>
      <c r="H317" s="18">
        <f>374</f>
        <v>374</v>
      </c>
      <c r="I317" s="18">
        <f>96</f>
        <v>96</v>
      </c>
      <c r="J317" s="18"/>
      <c r="K317" s="18"/>
      <c r="L317" s="19">
        <f>SUM(F317:K317)</f>
        <v>1675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52777</f>
        <v>52777</v>
      </c>
      <c r="G319" s="18">
        <f>16722</f>
        <v>16722</v>
      </c>
      <c r="H319" s="18"/>
      <c r="I319" s="18"/>
      <c r="J319" s="18"/>
      <c r="K319" s="18"/>
      <c r="L319" s="19">
        <f t="shared" ref="L319:L325" si="16">SUM(F319:K319)</f>
        <v>69499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11273</f>
        <v>11273</v>
      </c>
      <c r="G320" s="18">
        <f>6325</f>
        <v>6325</v>
      </c>
      <c r="H320" s="18">
        <f>44933</f>
        <v>44933</v>
      </c>
      <c r="I320" s="18"/>
      <c r="J320" s="18"/>
      <c r="K320" s="18"/>
      <c r="L320" s="19">
        <f t="shared" si="16"/>
        <v>62531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2196</v>
      </c>
      <c r="L323" s="19">
        <f t="shared" si="16"/>
        <v>2196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1113</v>
      </c>
      <c r="I325" s="18"/>
      <c r="J325" s="18"/>
      <c r="K325" s="18"/>
      <c r="L325" s="19">
        <f t="shared" si="16"/>
        <v>1113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86697</v>
      </c>
      <c r="G328" s="42">
        <f t="shared" si="17"/>
        <v>91487</v>
      </c>
      <c r="H328" s="42">
        <f t="shared" si="17"/>
        <v>46553</v>
      </c>
      <c r="I328" s="42">
        <f t="shared" si="17"/>
        <v>7522</v>
      </c>
      <c r="J328" s="42">
        <f t="shared" si="17"/>
        <v>6795</v>
      </c>
      <c r="K328" s="42">
        <f t="shared" si="17"/>
        <v>2196</v>
      </c>
      <c r="L328" s="41">
        <f t="shared" si="17"/>
        <v>241250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f>16094+13000</f>
        <v>29094</v>
      </c>
      <c r="G335" s="18">
        <f>3334+995</f>
        <v>4329</v>
      </c>
      <c r="H335" s="18">
        <f>2245+13083</f>
        <v>15328</v>
      </c>
      <c r="I335" s="18">
        <f>425+8758+44</f>
        <v>9227</v>
      </c>
      <c r="J335" s="18">
        <f>32840+14383</f>
        <v>47223</v>
      </c>
      <c r="K335" s="18"/>
      <c r="L335" s="19">
        <f t="shared" si="18"/>
        <v>105201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f>38767</f>
        <v>38767</v>
      </c>
      <c r="I336" s="18"/>
      <c r="J336" s="18"/>
      <c r="K336" s="18"/>
      <c r="L336" s="19">
        <f t="shared" si="18"/>
        <v>38767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29094</v>
      </c>
      <c r="G337" s="41">
        <f t="shared" si="19"/>
        <v>4329</v>
      </c>
      <c r="H337" s="41">
        <f t="shared" si="19"/>
        <v>54095</v>
      </c>
      <c r="I337" s="41">
        <f t="shared" si="19"/>
        <v>9227</v>
      </c>
      <c r="J337" s="41">
        <f t="shared" si="19"/>
        <v>47223</v>
      </c>
      <c r="K337" s="41">
        <f t="shared" si="19"/>
        <v>0</v>
      </c>
      <c r="L337" s="41">
        <f t="shared" si="18"/>
        <v>143968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700619</v>
      </c>
      <c r="G338" s="41">
        <f t="shared" si="20"/>
        <v>280511</v>
      </c>
      <c r="H338" s="41">
        <f t="shared" si="20"/>
        <v>195401</v>
      </c>
      <c r="I338" s="41">
        <f t="shared" si="20"/>
        <v>37615</v>
      </c>
      <c r="J338" s="41">
        <f t="shared" si="20"/>
        <v>82614</v>
      </c>
      <c r="K338" s="41">
        <f t="shared" si="20"/>
        <v>6630</v>
      </c>
      <c r="L338" s="41">
        <f t="shared" si="20"/>
        <v>1303390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700619</v>
      </c>
      <c r="G352" s="41">
        <f>G338</f>
        <v>280511</v>
      </c>
      <c r="H352" s="41">
        <f>H338</f>
        <v>195401</v>
      </c>
      <c r="I352" s="41">
        <f>I338</f>
        <v>37615</v>
      </c>
      <c r="J352" s="41">
        <f>J338</f>
        <v>82614</v>
      </c>
      <c r="K352" s="47">
        <f>K338+K351</f>
        <v>6630</v>
      </c>
      <c r="L352" s="41">
        <f>L338+L351</f>
        <v>1303390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174545+30528</f>
        <v>205073</v>
      </c>
      <c r="G358" s="18">
        <f>40763</f>
        <v>40763</v>
      </c>
      <c r="H358" s="18">
        <f>5415+3341</f>
        <v>8756</v>
      </c>
      <c r="I358" s="18">
        <f>173394+6220</f>
        <v>179614</v>
      </c>
      <c r="J358" s="18">
        <f>9499</f>
        <v>9499</v>
      </c>
      <c r="K358" s="18"/>
      <c r="L358" s="13">
        <f>SUM(F358:K358)</f>
        <v>443705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76460+16877</f>
        <v>93337</v>
      </c>
      <c r="G359" s="18">
        <f>22535</f>
        <v>22535</v>
      </c>
      <c r="H359" s="18">
        <f>1315+1847</f>
        <v>3162</v>
      </c>
      <c r="I359" s="18">
        <f>116275+3439</f>
        <v>119714</v>
      </c>
      <c r="J359" s="18"/>
      <c r="K359" s="18"/>
      <c r="L359" s="19">
        <f>SUM(F359:K359)</f>
        <v>238748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148574+23481</f>
        <v>172055</v>
      </c>
      <c r="G360" s="18">
        <f>31354</f>
        <v>31354</v>
      </c>
      <c r="H360" s="18">
        <f>4849+2570</f>
        <v>7419</v>
      </c>
      <c r="I360" s="18">
        <f>265924+4784</f>
        <v>270708</v>
      </c>
      <c r="J360" s="18"/>
      <c r="K360" s="18"/>
      <c r="L360" s="19">
        <f>SUM(F360:K360)</f>
        <v>481536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470465</v>
      </c>
      <c r="G362" s="47">
        <f t="shared" si="22"/>
        <v>94652</v>
      </c>
      <c r="H362" s="47">
        <f t="shared" si="22"/>
        <v>19337</v>
      </c>
      <c r="I362" s="47">
        <f t="shared" si="22"/>
        <v>570036</v>
      </c>
      <c r="J362" s="47">
        <f t="shared" si="22"/>
        <v>9499</v>
      </c>
      <c r="K362" s="47">
        <f t="shared" si="22"/>
        <v>0</v>
      </c>
      <c r="L362" s="47">
        <f t="shared" si="22"/>
        <v>1163989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155848+9566+6220</f>
        <v>171634</v>
      </c>
      <c r="G367" s="18">
        <f>110782+3439</f>
        <v>114221</v>
      </c>
      <c r="H367" s="18">
        <f>229301+4784</f>
        <v>234085</v>
      </c>
      <c r="I367" s="56">
        <f>SUM(F367:H367)</f>
        <v>519940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7980</v>
      </c>
      <c r="G368" s="63">
        <v>5493</v>
      </c>
      <c r="H368" s="63">
        <v>36623</v>
      </c>
      <c r="I368" s="56">
        <f>SUM(F368:H368)</f>
        <v>50096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179614</v>
      </c>
      <c r="G369" s="47">
        <f>SUM(G367:G368)</f>
        <v>119714</v>
      </c>
      <c r="H369" s="47">
        <f>SUM(H367:H368)</f>
        <v>270708</v>
      </c>
      <c r="I369" s="47">
        <f>SUM(I367:I368)</f>
        <v>570036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2586</v>
      </c>
      <c r="I396" s="18">
        <v>1584</v>
      </c>
      <c r="J396" s="24" t="s">
        <v>289</v>
      </c>
      <c r="K396" s="24" t="s">
        <v>289</v>
      </c>
      <c r="L396" s="56">
        <f t="shared" si="26"/>
        <v>4170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8227</v>
      </c>
      <c r="I397" s="18">
        <v>3664</v>
      </c>
      <c r="J397" s="24" t="s">
        <v>289</v>
      </c>
      <c r="K397" s="24" t="s">
        <v>289</v>
      </c>
      <c r="L397" s="56">
        <f t="shared" si="26"/>
        <v>11891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10813</v>
      </c>
      <c r="I401" s="47">
        <f>SUM(I395:I400)</f>
        <v>5248</v>
      </c>
      <c r="J401" s="45" t="s">
        <v>289</v>
      </c>
      <c r="K401" s="45" t="s">
        <v>289</v>
      </c>
      <c r="L401" s="47">
        <f>SUM(L395:L400)</f>
        <v>16061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10813</v>
      </c>
      <c r="I408" s="47">
        <f>I393+I401+I407</f>
        <v>5248</v>
      </c>
      <c r="J408" s="24" t="s">
        <v>289</v>
      </c>
      <c r="K408" s="24" t="s">
        <v>289</v>
      </c>
      <c r="L408" s="47">
        <f>L393+L401+L407</f>
        <v>16061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571646</v>
      </c>
      <c r="H440" s="18"/>
      <c r="I440" s="56">
        <f t="shared" si="33"/>
        <v>571646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571646</v>
      </c>
      <c r="H446" s="13">
        <f>SUM(H439:H445)</f>
        <v>0</v>
      </c>
      <c r="I446" s="13">
        <f>SUM(I439:I445)</f>
        <v>571646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571646</v>
      </c>
      <c r="H459" s="18"/>
      <c r="I459" s="56">
        <f t="shared" si="34"/>
        <v>571646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571646</v>
      </c>
      <c r="H460" s="83">
        <f>SUM(H454:H459)</f>
        <v>0</v>
      </c>
      <c r="I460" s="83">
        <f>SUM(I454:I459)</f>
        <v>571646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571646</v>
      </c>
      <c r="H461" s="42">
        <f>H452+H460</f>
        <v>0</v>
      </c>
      <c r="I461" s="42">
        <f>I452+I460</f>
        <v>571646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1197081</v>
      </c>
      <c r="G465" s="18">
        <v>469</v>
      </c>
      <c r="H465" s="18">
        <v>17229</v>
      </c>
      <c r="I465" s="18">
        <v>-79023</v>
      </c>
      <c r="J465" s="18">
        <v>555585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36515305</v>
      </c>
      <c r="G468" s="18">
        <f>G193</f>
        <v>1163619</v>
      </c>
      <c r="H468" s="18">
        <f>H193</f>
        <v>1276494</v>
      </c>
      <c r="I468" s="18">
        <f>I193</f>
        <v>0</v>
      </c>
      <c r="J468" s="18">
        <f>J193</f>
        <v>16061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36996</v>
      </c>
      <c r="G469" s="18"/>
      <c r="H469" s="18"/>
      <c r="I469" s="18">
        <v>79023</v>
      </c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36552301</v>
      </c>
      <c r="G470" s="53">
        <f>SUM(G468:G469)</f>
        <v>1163619</v>
      </c>
      <c r="H470" s="53">
        <f>SUM(H468:H469)</f>
        <v>1276494</v>
      </c>
      <c r="I470" s="53">
        <f>SUM(I468:I469)</f>
        <v>79023</v>
      </c>
      <c r="J470" s="53">
        <f>SUM(J468:J469)</f>
        <v>16061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36716426</v>
      </c>
      <c r="G472" s="18">
        <f>L362</f>
        <v>1163989</v>
      </c>
      <c r="H472" s="18">
        <f>L352</f>
        <v>1303390</v>
      </c>
      <c r="I472" s="18">
        <f>L382</f>
        <v>0</v>
      </c>
      <c r="J472" s="18">
        <f>L434</f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99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36716426</v>
      </c>
      <c r="G474" s="53">
        <f>SUM(G472:G473)</f>
        <v>1164088</v>
      </c>
      <c r="H474" s="53">
        <f>SUM(H472:H473)</f>
        <v>1303390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1032956</v>
      </c>
      <c r="G476" s="53">
        <f>(G465+G470)- G474</f>
        <v>0</v>
      </c>
      <c r="H476" s="53">
        <f>(H465+H470)- H474</f>
        <v>-9667</v>
      </c>
      <c r="I476" s="53">
        <f>(I465+I470)- I474</f>
        <v>0</v>
      </c>
      <c r="J476" s="53">
        <f>(J465+J470)- J474</f>
        <v>571646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1641481+54743+57792+27169</f>
        <v>1781185</v>
      </c>
      <c r="G521" s="18">
        <f>870788+38285</f>
        <v>909073</v>
      </c>
      <c r="H521" s="18">
        <f>339997+64766</f>
        <v>404763</v>
      </c>
      <c r="I521" s="18">
        <f>3173+2282+6401</f>
        <v>11856</v>
      </c>
      <c r="J521" s="18">
        <f>1402+8834</f>
        <v>10236</v>
      </c>
      <c r="K521" s="18"/>
      <c r="L521" s="88">
        <f>SUM(F521:K521)</f>
        <v>3117113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799815+30264+97717+15020</f>
        <v>942816</v>
      </c>
      <c r="G522" s="18">
        <f>481401+21165</f>
        <v>502566</v>
      </c>
      <c r="H522" s="18">
        <f>270234+35805</f>
        <v>306039</v>
      </c>
      <c r="I522" s="18">
        <f>2985+1262+298+3539</f>
        <v>8084</v>
      </c>
      <c r="J522" s="18">
        <f>506+775+4884</f>
        <v>6165</v>
      </c>
      <c r="K522" s="18"/>
      <c r="L522" s="88">
        <f>SUM(F522:K522)</f>
        <v>1765670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1146550+42108+20898</f>
        <v>1209556</v>
      </c>
      <c r="G523" s="18">
        <f>669792+29448</f>
        <v>699240</v>
      </c>
      <c r="H523" s="18">
        <f>587611+49817</f>
        <v>637428</v>
      </c>
      <c r="I523" s="18">
        <f>4595+1755+214+4923</f>
        <v>11487</v>
      </c>
      <c r="J523" s="18">
        <f>511+1078+6795</f>
        <v>8384</v>
      </c>
      <c r="K523" s="18"/>
      <c r="L523" s="88">
        <f>SUM(F523:K523)</f>
        <v>2566095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3933557</v>
      </c>
      <c r="G524" s="108">
        <f t="shared" ref="G524:L524" si="36">SUM(G521:G523)</f>
        <v>2110879</v>
      </c>
      <c r="H524" s="108">
        <f t="shared" si="36"/>
        <v>1348230</v>
      </c>
      <c r="I524" s="108">
        <f t="shared" si="36"/>
        <v>31427</v>
      </c>
      <c r="J524" s="108">
        <f t="shared" si="36"/>
        <v>24785</v>
      </c>
      <c r="K524" s="108">
        <f t="shared" si="36"/>
        <v>0</v>
      </c>
      <c r="L524" s="89">
        <f t="shared" si="36"/>
        <v>7448878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642014+363395+56146</f>
        <v>1061555</v>
      </c>
      <c r="G526" s="18">
        <f>194592+17154</f>
        <v>211746</v>
      </c>
      <c r="H526" s="18">
        <f>193617</f>
        <v>193617</v>
      </c>
      <c r="I526" s="18">
        <f>5936</f>
        <v>5936</v>
      </c>
      <c r="J526" s="18"/>
      <c r="K526" s="18"/>
      <c r="L526" s="88">
        <f>SUM(F526:K526)</f>
        <v>1472854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26444+200897+31039</f>
        <v>258380</v>
      </c>
      <c r="G527" s="18">
        <f>107577+9483</f>
        <v>117060</v>
      </c>
      <c r="H527" s="18">
        <f>35282</f>
        <v>35282</v>
      </c>
      <c r="I527" s="18"/>
      <c r="J527" s="18"/>
      <c r="K527" s="18"/>
      <c r="L527" s="88">
        <f>SUM(F527:K527)</f>
        <v>410722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279516+43186</f>
        <v>322702</v>
      </c>
      <c r="G528" s="18">
        <f>149676+13195</f>
        <v>162871</v>
      </c>
      <c r="H528" s="18">
        <f>129190</f>
        <v>129190</v>
      </c>
      <c r="I528" s="18"/>
      <c r="J528" s="18"/>
      <c r="K528" s="18"/>
      <c r="L528" s="88">
        <f>SUM(F528:K528)</f>
        <v>614763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1642637</v>
      </c>
      <c r="G529" s="89">
        <f t="shared" ref="G529:L529" si="37">SUM(G526:G528)</f>
        <v>491677</v>
      </c>
      <c r="H529" s="89">
        <f t="shared" si="37"/>
        <v>358089</v>
      </c>
      <c r="I529" s="89">
        <f t="shared" si="37"/>
        <v>5936</v>
      </c>
      <c r="J529" s="89">
        <f t="shared" si="37"/>
        <v>0</v>
      </c>
      <c r="K529" s="89">
        <f t="shared" si="37"/>
        <v>0</v>
      </c>
      <c r="L529" s="89">
        <f t="shared" si="37"/>
        <v>2498339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99755+12468</f>
        <v>112223</v>
      </c>
      <c r="G531" s="18">
        <f>71324+4585</f>
        <v>75909</v>
      </c>
      <c r="H531" s="18">
        <f>24622+1294</f>
        <v>25916</v>
      </c>
      <c r="I531" s="18">
        <v>0</v>
      </c>
      <c r="J531" s="18">
        <f>86</f>
        <v>86</v>
      </c>
      <c r="K531" s="18">
        <f>616</f>
        <v>616</v>
      </c>
      <c r="L531" s="88">
        <f>SUM(F531:K531)</f>
        <v>214750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49888+55148+6893</f>
        <v>111929</v>
      </c>
      <c r="G532" s="18">
        <f>39430+2535</f>
        <v>41965</v>
      </c>
      <c r="H532" s="18">
        <f>14742+715</f>
        <v>15457</v>
      </c>
      <c r="I532" s="18">
        <v>0</v>
      </c>
      <c r="J532" s="18">
        <f>48</f>
        <v>48</v>
      </c>
      <c r="K532" s="18">
        <f>340</f>
        <v>340</v>
      </c>
      <c r="L532" s="88">
        <f>SUM(F532:K532)</f>
        <v>169739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49388+76729+9590</f>
        <v>135707</v>
      </c>
      <c r="G533" s="18">
        <f>54861+3527</f>
        <v>58388</v>
      </c>
      <c r="H533" s="18">
        <f>27443+995</f>
        <v>28438</v>
      </c>
      <c r="I533" s="18">
        <v>0</v>
      </c>
      <c r="J533" s="18">
        <f>66</f>
        <v>66</v>
      </c>
      <c r="K533" s="18">
        <f>474</f>
        <v>474</v>
      </c>
      <c r="L533" s="88">
        <f>SUM(F533:K533)</f>
        <v>223073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359859</v>
      </c>
      <c r="G534" s="89">
        <f t="shared" ref="G534:L534" si="38">SUM(G531:G533)</f>
        <v>176262</v>
      </c>
      <c r="H534" s="89">
        <f t="shared" si="38"/>
        <v>69811</v>
      </c>
      <c r="I534" s="89">
        <f t="shared" si="38"/>
        <v>0</v>
      </c>
      <c r="J534" s="89">
        <f t="shared" si="38"/>
        <v>200</v>
      </c>
      <c r="K534" s="89">
        <f t="shared" si="38"/>
        <v>1430</v>
      </c>
      <c r="L534" s="89">
        <f t="shared" si="38"/>
        <v>607562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1180+21645</f>
        <v>22825</v>
      </c>
      <c r="I536" s="18"/>
      <c r="J536" s="18"/>
      <c r="K536" s="18"/>
      <c r="L536" s="88">
        <f>SUM(F536:K536)</f>
        <v>22825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11966</f>
        <v>11966</v>
      </c>
      <c r="I537" s="18"/>
      <c r="J537" s="18"/>
      <c r="K537" s="18"/>
      <c r="L537" s="88">
        <f>SUM(F537:K537)</f>
        <v>11966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476+16649</f>
        <v>17125</v>
      </c>
      <c r="I538" s="18"/>
      <c r="J538" s="18"/>
      <c r="K538" s="18"/>
      <c r="L538" s="88">
        <f>SUM(F538:K538)</f>
        <v>17125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51916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51916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134229</f>
        <v>134229</v>
      </c>
      <c r="G541" s="18">
        <f>52739</f>
        <v>52739</v>
      </c>
      <c r="H541" s="18">
        <f>62858</f>
        <v>62858</v>
      </c>
      <c r="I541" s="18"/>
      <c r="J541" s="18"/>
      <c r="K541" s="18"/>
      <c r="L541" s="88">
        <f>SUM(F541:K541)</f>
        <v>249826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74206</f>
        <v>74206</v>
      </c>
      <c r="G542" s="18">
        <f>29156</f>
        <v>29156</v>
      </c>
      <c r="H542" s="18">
        <f>34750</f>
        <v>34750</v>
      </c>
      <c r="I542" s="18"/>
      <c r="J542" s="18"/>
      <c r="K542" s="18"/>
      <c r="L542" s="88">
        <f>SUM(F542:K542)</f>
        <v>138112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103246</f>
        <v>103246</v>
      </c>
      <c r="G543" s="18">
        <f>40566</f>
        <v>40566</v>
      </c>
      <c r="H543" s="18">
        <f>48349</f>
        <v>48349</v>
      </c>
      <c r="I543" s="18"/>
      <c r="J543" s="18"/>
      <c r="K543" s="18"/>
      <c r="L543" s="88">
        <f>SUM(F543:K543)</f>
        <v>192161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311681</v>
      </c>
      <c r="G544" s="193">
        <f t="shared" ref="G544:L544" si="40">SUM(G541:G543)</f>
        <v>122461</v>
      </c>
      <c r="H544" s="193">
        <f t="shared" si="40"/>
        <v>145957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580099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6247734</v>
      </c>
      <c r="G545" s="89">
        <f t="shared" ref="G545:L545" si="41">G524+G529+G534+G539+G544</f>
        <v>2901279</v>
      </c>
      <c r="H545" s="89">
        <f t="shared" si="41"/>
        <v>1974003</v>
      </c>
      <c r="I545" s="89">
        <f t="shared" si="41"/>
        <v>37363</v>
      </c>
      <c r="J545" s="89">
        <f t="shared" si="41"/>
        <v>24985</v>
      </c>
      <c r="K545" s="89">
        <f t="shared" si="41"/>
        <v>1430</v>
      </c>
      <c r="L545" s="89">
        <f t="shared" si="41"/>
        <v>11186794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3117113</v>
      </c>
      <c r="G549" s="87">
        <f>L526</f>
        <v>1472854</v>
      </c>
      <c r="H549" s="87">
        <f>L531</f>
        <v>214750</v>
      </c>
      <c r="I549" s="87">
        <f>L536</f>
        <v>22825</v>
      </c>
      <c r="J549" s="87">
        <f>L541</f>
        <v>249826</v>
      </c>
      <c r="K549" s="87">
        <f>SUM(F549:J549)</f>
        <v>5077368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1765670</v>
      </c>
      <c r="G550" s="87">
        <f>L527</f>
        <v>410722</v>
      </c>
      <c r="H550" s="87">
        <f>L532</f>
        <v>169739</v>
      </c>
      <c r="I550" s="87">
        <f>L537</f>
        <v>11966</v>
      </c>
      <c r="J550" s="87">
        <f>L542</f>
        <v>138112</v>
      </c>
      <c r="K550" s="87">
        <f>SUM(F550:J550)</f>
        <v>2496209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2566095</v>
      </c>
      <c r="G551" s="87">
        <f>L528</f>
        <v>614763</v>
      </c>
      <c r="H551" s="87">
        <f>L533</f>
        <v>223073</v>
      </c>
      <c r="I551" s="87">
        <f>L538</f>
        <v>17125</v>
      </c>
      <c r="J551" s="87">
        <f>L543</f>
        <v>192161</v>
      </c>
      <c r="K551" s="87">
        <f>SUM(F551:J551)</f>
        <v>3613217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7448878</v>
      </c>
      <c r="G552" s="89">
        <f t="shared" si="42"/>
        <v>2498339</v>
      </c>
      <c r="H552" s="89">
        <f t="shared" si="42"/>
        <v>607562</v>
      </c>
      <c r="I552" s="89">
        <f t="shared" si="42"/>
        <v>51916</v>
      </c>
      <c r="J552" s="89">
        <f t="shared" si="42"/>
        <v>580099</v>
      </c>
      <c r="K552" s="89">
        <f t="shared" si="42"/>
        <v>11186794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7698</v>
      </c>
      <c r="G562" s="18">
        <f>23063</f>
        <v>23063</v>
      </c>
      <c r="H562" s="18">
        <f>295</f>
        <v>295</v>
      </c>
      <c r="I562" s="18">
        <f>38</f>
        <v>38</v>
      </c>
      <c r="J562" s="18"/>
      <c r="K562" s="18"/>
      <c r="L562" s="88">
        <f>SUM(F562:K562)</f>
        <v>31094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15395</v>
      </c>
      <c r="G563" s="18">
        <f>12750</f>
        <v>12750</v>
      </c>
      <c r="H563" s="18">
        <f>163</f>
        <v>163</v>
      </c>
      <c r="I563" s="18">
        <f>21</f>
        <v>21</v>
      </c>
      <c r="J563" s="18"/>
      <c r="K563" s="18"/>
      <c r="L563" s="88">
        <f>SUM(F563:K563)</f>
        <v>28329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36585</v>
      </c>
      <c r="G564" s="18">
        <f>17740</f>
        <v>17740</v>
      </c>
      <c r="H564" s="18">
        <f>227</f>
        <v>227</v>
      </c>
      <c r="I564" s="18">
        <f>29</f>
        <v>29</v>
      </c>
      <c r="J564" s="18"/>
      <c r="K564" s="18"/>
      <c r="L564" s="88">
        <f>SUM(F564:K564)</f>
        <v>54581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59678</v>
      </c>
      <c r="G565" s="89">
        <f t="shared" si="44"/>
        <v>53553</v>
      </c>
      <c r="H565" s="89">
        <f t="shared" si="44"/>
        <v>685</v>
      </c>
      <c r="I565" s="89">
        <f t="shared" si="44"/>
        <v>88</v>
      </c>
      <c r="J565" s="89">
        <f t="shared" si="44"/>
        <v>0</v>
      </c>
      <c r="K565" s="89">
        <f t="shared" si="44"/>
        <v>0</v>
      </c>
      <c r="L565" s="89">
        <f t="shared" si="44"/>
        <v>114004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59678</v>
      </c>
      <c r="G571" s="89">
        <f t="shared" ref="G571:L571" si="46">G560+G565+G570</f>
        <v>53553</v>
      </c>
      <c r="H571" s="89">
        <f t="shared" si="46"/>
        <v>685</v>
      </c>
      <c r="I571" s="89">
        <f t="shared" si="46"/>
        <v>88</v>
      </c>
      <c r="J571" s="89">
        <f t="shared" si="46"/>
        <v>0</v>
      </c>
      <c r="K571" s="89">
        <f t="shared" si="46"/>
        <v>0</v>
      </c>
      <c r="L571" s="89">
        <f t="shared" si="46"/>
        <v>114004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72895+50763</f>
        <v>123658</v>
      </c>
      <c r="G579" s="18">
        <f>17928+28064</f>
        <v>45992</v>
      </c>
      <c r="H579" s="18">
        <f>36451+39046</f>
        <v>75497</v>
      </c>
      <c r="I579" s="87">
        <f t="shared" si="47"/>
        <v>245147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255005</v>
      </c>
      <c r="G582" s="18">
        <v>249722</v>
      </c>
      <c r="H582" s="18">
        <v>547064</v>
      </c>
      <c r="I582" s="87">
        <f t="shared" si="47"/>
        <v>1051791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228702</v>
      </c>
      <c r="I584" s="87">
        <f t="shared" si="47"/>
        <v>228702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47322+274331+265+147090</f>
        <v>469008</v>
      </c>
      <c r="I591" s="18">
        <f>151659+146+81316</f>
        <v>233121</v>
      </c>
      <c r="J591" s="18">
        <f>211010+204+113138</f>
        <v>324352</v>
      </c>
      <c r="K591" s="104">
        <f t="shared" ref="K591:K597" si="48">SUM(H591:J591)</f>
        <v>1026481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249826</f>
        <v>249826</v>
      </c>
      <c r="I592" s="18">
        <v>138112</v>
      </c>
      <c r="J592" s="18">
        <v>192160</v>
      </c>
      <c r="K592" s="104">
        <f t="shared" si="48"/>
        <v>580098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f>467</f>
        <v>467</v>
      </c>
      <c r="I593" s="18">
        <f>258</f>
        <v>258</v>
      </c>
      <c r="J593" s="18">
        <f>6045+359</f>
        <v>6404</v>
      </c>
      <c r="K593" s="104">
        <f t="shared" si="48"/>
        <v>7129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1300</v>
      </c>
      <c r="I595" s="18">
        <v>9434</v>
      </c>
      <c r="J595" s="18">
        <v>48546</v>
      </c>
      <c r="K595" s="104">
        <f t="shared" si="48"/>
        <v>59280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1846+161371-2</f>
        <v>163215</v>
      </c>
      <c r="I597" s="18">
        <f>1020+89211+2</f>
        <v>90233</v>
      </c>
      <c r="J597" s="18">
        <f>1419+124123-39</f>
        <v>125503</v>
      </c>
      <c r="K597" s="104">
        <f t="shared" si="48"/>
        <v>378951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883816</v>
      </c>
      <c r="I598" s="108">
        <f>SUM(I591:I597)</f>
        <v>471158</v>
      </c>
      <c r="J598" s="108">
        <f>SUM(J591:J597)</f>
        <v>696965</v>
      </c>
      <c r="K598" s="108">
        <f>SUM(K591:K597)</f>
        <v>2051939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2369</v>
      </c>
      <c r="I602" s="18">
        <v>1309</v>
      </c>
      <c r="J602" s="18">
        <v>1822</v>
      </c>
      <c r="K602" s="104">
        <f>SUM(H602:J602)</f>
        <v>5500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150298+14878+8834+14143+6194+15937</f>
        <v>210284</v>
      </c>
      <c r="I604" s="18">
        <f>83090+4884+7819+3424+35224</f>
        <v>134441</v>
      </c>
      <c r="J604" s="18">
        <f>115606+6795+10879+4764+19992</f>
        <v>158036</v>
      </c>
      <c r="K604" s="104">
        <f>SUM(H604:J604)</f>
        <v>502761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212653</v>
      </c>
      <c r="I605" s="108">
        <f>SUM(I602:I604)</f>
        <v>135750</v>
      </c>
      <c r="J605" s="108">
        <f>SUM(J602:J604)</f>
        <v>159858</v>
      </c>
      <c r="K605" s="108">
        <f>SUM(K602:K604)</f>
        <v>508261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2492305</v>
      </c>
      <c r="H617" s="109">
        <f>SUM(F52)</f>
        <v>2492305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71833</v>
      </c>
      <c r="H618" s="109">
        <f>SUM(G52)</f>
        <v>71833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334966</v>
      </c>
      <c r="H619" s="109">
        <f>SUM(H52)</f>
        <v>334966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571646</v>
      </c>
      <c r="H621" s="109">
        <f>SUM(J52)</f>
        <v>571646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1032956</v>
      </c>
      <c r="H622" s="109">
        <f>F476</f>
        <v>1032956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-9667</v>
      </c>
      <c r="H624" s="109">
        <f>H476</f>
        <v>-9667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571646</v>
      </c>
      <c r="H626" s="109">
        <f>J476</f>
        <v>571646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36515305</v>
      </c>
      <c r="H627" s="104">
        <f>SUM(F468)</f>
        <v>36515305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1163619</v>
      </c>
      <c r="H628" s="104">
        <f>SUM(G468)</f>
        <v>1163619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1276494</v>
      </c>
      <c r="H629" s="104">
        <f>SUM(H468)</f>
        <v>1276494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16061</v>
      </c>
      <c r="H631" s="104">
        <f>SUM(J468)</f>
        <v>16061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36716426</v>
      </c>
      <c r="H632" s="104">
        <f>SUM(F472)</f>
        <v>36716426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1303390</v>
      </c>
      <c r="H633" s="104">
        <f>SUM(H472)</f>
        <v>1303390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570036</v>
      </c>
      <c r="H634" s="104">
        <f>I369</f>
        <v>570036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1163989</v>
      </c>
      <c r="H635" s="104">
        <f>SUM(G472)</f>
        <v>1163989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16061</v>
      </c>
      <c r="H637" s="164">
        <f>SUM(J468)</f>
        <v>16061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571646</v>
      </c>
      <c r="H640" s="104">
        <f>SUM(G461)</f>
        <v>571646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571646</v>
      </c>
      <c r="H642" s="104">
        <f>SUM(I461)</f>
        <v>571646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10813</v>
      </c>
      <c r="H644" s="104">
        <f>H408</f>
        <v>10813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16061</v>
      </c>
      <c r="H646" s="104">
        <f>L408</f>
        <v>16061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2051939</v>
      </c>
      <c r="H647" s="104">
        <f>L208+L226+L244</f>
        <v>2051939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508261</v>
      </c>
      <c r="H648" s="104">
        <f>(J257+J338)-(J255+J336)</f>
        <v>508261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883816</v>
      </c>
      <c r="H649" s="104">
        <f>H598</f>
        <v>883816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471158</v>
      </c>
      <c r="H650" s="104">
        <f>I598</f>
        <v>471158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696965</v>
      </c>
      <c r="H651" s="104">
        <f>J598</f>
        <v>696965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76857</v>
      </c>
      <c r="H652" s="104">
        <f>K263+K345</f>
        <v>76857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17091128</v>
      </c>
      <c r="G660" s="19">
        <f>(L229+L309+L359)</f>
        <v>9004259</v>
      </c>
      <c r="H660" s="19">
        <f>(L247+L328+L360)</f>
        <v>12567918</v>
      </c>
      <c r="I660" s="19">
        <f>SUM(F660:H660)</f>
        <v>38663305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241981.61151007441</v>
      </c>
      <c r="G661" s="19">
        <f>(L359/IF(SUM(L358:L360)=0,1,SUM(L358:L360))*(SUM(G97:G110)))</f>
        <v>130205.03664553532</v>
      </c>
      <c r="H661" s="19">
        <f>(L360/IF(SUM(L358:L360)=0,1,SUM(L358:L360))*(SUM(G97:G110)))</f>
        <v>262613.35184439027</v>
      </c>
      <c r="I661" s="19">
        <f>SUM(F661:H661)</f>
        <v>634800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846817</v>
      </c>
      <c r="G662" s="19">
        <f>(L226+L306)-(J226+J306)</f>
        <v>450703</v>
      </c>
      <c r="H662" s="19">
        <f>(L244+L325)-(J244+J325)</f>
        <v>668505</v>
      </c>
      <c r="I662" s="19">
        <f>SUM(F662:H662)</f>
        <v>1966025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591316</v>
      </c>
      <c r="G663" s="199">
        <f>SUM(G575:G587)+SUM(I602:I604)+L612</f>
        <v>431464</v>
      </c>
      <c r="H663" s="199">
        <f>SUM(H575:H587)+SUM(J602:J604)+L613</f>
        <v>1011121</v>
      </c>
      <c r="I663" s="19">
        <f>SUM(F663:H663)</f>
        <v>2033901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15411013.388489926</v>
      </c>
      <c r="G664" s="19">
        <f>G660-SUM(G661:G663)</f>
        <v>7991886.9633544646</v>
      </c>
      <c r="H664" s="19">
        <f>H660-SUM(H661:H663)</f>
        <v>10625678.648155609</v>
      </c>
      <c r="I664" s="19">
        <f>I660-SUM(I661:I663)</f>
        <v>34028579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1081.1400000000001</v>
      </c>
      <c r="G665" s="248">
        <v>597.69000000000005</v>
      </c>
      <c r="H665" s="248">
        <v>831.59</v>
      </c>
      <c r="I665" s="19">
        <f>SUM(F665:H665)</f>
        <v>2510.42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14254.41</v>
      </c>
      <c r="G667" s="19">
        <f>ROUND(G664/G665,2)</f>
        <v>13371.29</v>
      </c>
      <c r="H667" s="19">
        <f>ROUND(H664/H665,2)</f>
        <v>12777.55</v>
      </c>
      <c r="I667" s="19">
        <f>ROUND(I664/I665,2)</f>
        <v>13554.93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-37.840000000000003</v>
      </c>
      <c r="I670" s="19">
        <f>SUM(F670:H670)</f>
        <v>-37.840000000000003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14254.41</v>
      </c>
      <c r="G672" s="19">
        <f>ROUND((G664+G669)/(G665+G670),2)</f>
        <v>13371.29</v>
      </c>
      <c r="H672" s="19">
        <f>ROUND((H664+H669)/(H665+H670),2)</f>
        <v>13386.68</v>
      </c>
      <c r="I672" s="19">
        <f>ROUND((I664+I669)/(I665+I670),2)</f>
        <v>13762.38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MERRIMACK VALLEY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9372248</v>
      </c>
      <c r="C9" s="229">
        <f>'DOE25'!G197+'DOE25'!G215+'DOE25'!G233+'DOE25'!G276+'DOE25'!G295+'DOE25'!G314</f>
        <v>4553979</v>
      </c>
    </row>
    <row r="10" spans="1:3" x14ac:dyDescent="0.2">
      <c r="A10" t="s">
        <v>779</v>
      </c>
      <c r="B10" s="240">
        <f>8628067+212809</f>
        <v>8840876</v>
      </c>
      <c r="C10" s="240">
        <f>4479921-40015-38355+54125+338+439+17234+156+32988-2295+1</f>
        <v>4504537</v>
      </c>
    </row>
    <row r="11" spans="1:3" x14ac:dyDescent="0.2">
      <c r="A11" t="s">
        <v>780</v>
      </c>
      <c r="B11" s="240">
        <f>501374+25660+3500+838</f>
        <v>531372</v>
      </c>
      <c r="C11" s="240">
        <f>38355+8792+2295</f>
        <v>49442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9372248</v>
      </c>
      <c r="C13" s="231">
        <f>SUM(C10:C12)</f>
        <v>4553979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3933557</v>
      </c>
      <c r="C18" s="229">
        <f>'DOE25'!G198+'DOE25'!G216+'DOE25'!G234+'DOE25'!G277+'DOE25'!G296+'DOE25'!G315</f>
        <v>2110879</v>
      </c>
    </row>
    <row r="19" spans="1:3" x14ac:dyDescent="0.2">
      <c r="A19" t="s">
        <v>779</v>
      </c>
      <c r="B19" s="240">
        <f>1777553+119933+1</f>
        <v>1897487</v>
      </c>
      <c r="C19" s="240">
        <f>2021980-148212+88899-7548</f>
        <v>1955119</v>
      </c>
    </row>
    <row r="20" spans="1:3" x14ac:dyDescent="0.2">
      <c r="A20" t="s">
        <v>780</v>
      </c>
      <c r="B20" s="240">
        <f>1937408+98662</f>
        <v>2036070</v>
      </c>
      <c r="C20" s="240">
        <f>148212+7548</f>
        <v>155760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3933557</v>
      </c>
      <c r="C22" s="231">
        <f>SUM(C19:C21)</f>
        <v>2110879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372582</v>
      </c>
      <c r="C36" s="235">
        <f>'DOE25'!G200+'DOE25'!G218+'DOE25'!G236+'DOE25'!G279+'DOE25'!G298+'DOE25'!G317</f>
        <v>92813</v>
      </c>
    </row>
    <row r="37" spans="1:3" x14ac:dyDescent="0.2">
      <c r="A37" t="s">
        <v>779</v>
      </c>
      <c r="B37" s="240">
        <f>97220+775</f>
        <v>97995</v>
      </c>
      <c r="C37" s="240">
        <f>6586+57+13110+14903+59</f>
        <v>34715</v>
      </c>
    </row>
    <row r="38" spans="1:3" x14ac:dyDescent="0.2">
      <c r="A38" t="s">
        <v>780</v>
      </c>
      <c r="B38" s="240">
        <f>355813-97220+15994</f>
        <v>274587</v>
      </c>
      <c r="C38" s="240">
        <f>20435+426+33658+2356+1283-59-1</f>
        <v>58098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372582</v>
      </c>
      <c r="C40" s="231">
        <f>SUM(C37:C39)</f>
        <v>92813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MERRIMACK VALLEY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21919360</v>
      </c>
      <c r="D5" s="20">
        <f>SUM('DOE25'!L197:L200)+SUM('DOE25'!L215:L218)+SUM('DOE25'!L233:L236)-F5-G5</f>
        <v>21843098</v>
      </c>
      <c r="E5" s="243"/>
      <c r="F5" s="255">
        <f>SUM('DOE25'!J197:J200)+SUM('DOE25'!J215:J218)+SUM('DOE25'!J233:J236)</f>
        <v>70752</v>
      </c>
      <c r="G5" s="53">
        <f>SUM('DOE25'!K197:K200)+SUM('DOE25'!K215:K218)+SUM('DOE25'!K233:K236)</f>
        <v>5510</v>
      </c>
      <c r="H5" s="259"/>
    </row>
    <row r="6" spans="1:9" x14ac:dyDescent="0.2">
      <c r="A6" s="32">
        <v>2100</v>
      </c>
      <c r="B6" t="s">
        <v>801</v>
      </c>
      <c r="C6" s="245">
        <f t="shared" si="0"/>
        <v>4393655</v>
      </c>
      <c r="D6" s="20">
        <f>'DOE25'!L202+'DOE25'!L220+'DOE25'!L238-F6-G6</f>
        <v>4391131</v>
      </c>
      <c r="E6" s="243"/>
      <c r="F6" s="255">
        <f>'DOE25'!J202+'DOE25'!J220+'DOE25'!J238</f>
        <v>1094</v>
      </c>
      <c r="G6" s="53">
        <f>'DOE25'!K202+'DOE25'!K220+'DOE25'!K238</f>
        <v>1430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1352203</v>
      </c>
      <c r="D7" s="20">
        <f>'DOE25'!L203+'DOE25'!L221+'DOE25'!L239-F7-G7</f>
        <v>1209569</v>
      </c>
      <c r="E7" s="243"/>
      <c r="F7" s="255">
        <f>'DOE25'!J203+'DOE25'!J221+'DOE25'!J239</f>
        <v>142634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659245.76</v>
      </c>
      <c r="D8" s="243"/>
      <c r="E8" s="20">
        <f>'DOE25'!L204+'DOE25'!L222+'DOE25'!L240-F8-G8-D9-D11</f>
        <v>653663.76</v>
      </c>
      <c r="F8" s="255">
        <f>'DOE25'!J204+'DOE25'!J222+'DOE25'!J240</f>
        <v>0</v>
      </c>
      <c r="G8" s="53">
        <f>'DOE25'!K204+'DOE25'!K222+'DOE25'!K240</f>
        <v>5582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19199.240000000002</v>
      </c>
      <c r="D9" s="244">
        <v>19199.240000000002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33475.129999999997</v>
      </c>
      <c r="D10" s="243"/>
      <c r="E10" s="244">
        <v>33475.129999999997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301961</v>
      </c>
      <c r="D11" s="244">
        <v>301961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1999408</v>
      </c>
      <c r="D12" s="20">
        <f>'DOE25'!L205+'DOE25'!L223+'DOE25'!L241-F12-G12</f>
        <v>1918079</v>
      </c>
      <c r="E12" s="243"/>
      <c r="F12" s="255">
        <f>'DOE25'!J205+'DOE25'!J223+'DOE25'!J241</f>
        <v>59717</v>
      </c>
      <c r="G12" s="53">
        <f>'DOE25'!K205+'DOE25'!K223+'DOE25'!K241</f>
        <v>21612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3642923</v>
      </c>
      <c r="D14" s="20">
        <f>'DOE25'!L207+'DOE25'!L225+'DOE25'!L243-F14-G14</f>
        <v>3580748</v>
      </c>
      <c r="E14" s="243"/>
      <c r="F14" s="255">
        <f>'DOE25'!J207+'DOE25'!J225+'DOE25'!J243</f>
        <v>62175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2051939</v>
      </c>
      <c r="D15" s="20">
        <f>'DOE25'!L208+'DOE25'!L226+'DOE25'!L244-F15-G15</f>
        <v>1962049</v>
      </c>
      <c r="E15" s="243"/>
      <c r="F15" s="255">
        <f>'DOE25'!J208+'DOE25'!J226+'DOE25'!J244</f>
        <v>89275</v>
      </c>
      <c r="G15" s="53">
        <f>'DOE25'!K208+'DOE25'!K226+'DOE25'!K244</f>
        <v>615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338442</v>
      </c>
      <c r="D22" s="243"/>
      <c r="E22" s="243"/>
      <c r="F22" s="255">
        <f>'DOE25'!L255+'DOE25'!L336</f>
        <v>338442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644049</v>
      </c>
      <c r="D29" s="20">
        <f>'DOE25'!L358+'DOE25'!L359+'DOE25'!L360-'DOE25'!I367-F29-G29</f>
        <v>634550</v>
      </c>
      <c r="E29" s="243"/>
      <c r="F29" s="255">
        <f>'DOE25'!J358+'DOE25'!J359+'DOE25'!J360</f>
        <v>9499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1264623</v>
      </c>
      <c r="D31" s="20">
        <f>'DOE25'!L290+'DOE25'!L309+'DOE25'!L328+'DOE25'!L333+'DOE25'!L334+'DOE25'!L335-F31-G31</f>
        <v>1175379</v>
      </c>
      <c r="E31" s="243"/>
      <c r="F31" s="255">
        <f>'DOE25'!J290+'DOE25'!J309+'DOE25'!J328+'DOE25'!J333+'DOE25'!J334+'DOE25'!J335</f>
        <v>82614</v>
      </c>
      <c r="G31" s="53">
        <f>'DOE25'!K290+'DOE25'!K309+'DOE25'!K328+'DOE25'!K333+'DOE25'!K334+'DOE25'!K335</f>
        <v>6630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37035763.239999995</v>
      </c>
      <c r="E33" s="246">
        <f>SUM(E5:E31)</f>
        <v>687138.89</v>
      </c>
      <c r="F33" s="246">
        <f>SUM(F5:F31)</f>
        <v>856202</v>
      </c>
      <c r="G33" s="246">
        <f>SUM(G5:G31)</f>
        <v>41379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687138.89</v>
      </c>
      <c r="E35" s="249"/>
    </row>
    <row r="36" spans="2:8" ht="12" thickTop="1" x14ac:dyDescent="0.2">
      <c r="B36" t="s">
        <v>815</v>
      </c>
      <c r="D36" s="20">
        <f>D33</f>
        <v>37035763.239999995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1831969</v>
      </c>
      <c r="D8" s="95">
        <f>'DOE25'!G9</f>
        <v>25432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34612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571646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185428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339985</v>
      </c>
      <c r="D11" s="95">
        <f>'DOE25'!G12</f>
        <v>0</v>
      </c>
      <c r="E11" s="95">
        <f>'DOE25'!H12</f>
        <v>21938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97250</v>
      </c>
      <c r="D12" s="95">
        <f>'DOE25'!G13</f>
        <v>26414</v>
      </c>
      <c r="E12" s="95">
        <f>'DOE25'!H13</f>
        <v>298238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3061</v>
      </c>
      <c r="D13" s="95">
        <f>'DOE25'!G14</f>
        <v>478</v>
      </c>
      <c r="E13" s="95">
        <f>'DOE25'!H14</f>
        <v>14790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19509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2492305</v>
      </c>
      <c r="D18" s="41">
        <f>SUM(D8:D17)</f>
        <v>71833</v>
      </c>
      <c r="E18" s="41">
        <f>SUM(E8:E17)</f>
        <v>334966</v>
      </c>
      <c r="F18" s="41">
        <f>SUM(F8:F17)</f>
        <v>0</v>
      </c>
      <c r="G18" s="41">
        <f>SUM(G8:G17)</f>
        <v>571646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69277</v>
      </c>
      <c r="E21" s="95">
        <f>'DOE25'!H22</f>
        <v>292646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201969</v>
      </c>
      <c r="D23" s="95">
        <f>'DOE25'!G24</f>
        <v>2556</v>
      </c>
      <c r="E23" s="95">
        <f>'DOE25'!H24</f>
        <v>1817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1182098</v>
      </c>
      <c r="D27" s="95">
        <f>'DOE25'!G28</f>
        <v>0</v>
      </c>
      <c r="E27" s="95">
        <f>'DOE25'!H28</f>
        <v>25632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75282</v>
      </c>
      <c r="D29" s="95">
        <f>'DOE25'!G30</f>
        <v>0</v>
      </c>
      <c r="E29" s="95">
        <f>'DOE25'!H30</f>
        <v>24538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1459349</v>
      </c>
      <c r="D31" s="41">
        <f>SUM(D21:D30)</f>
        <v>71833</v>
      </c>
      <c r="E31" s="41">
        <f>SUM(E21:E30)</f>
        <v>344633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19509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-19509</v>
      </c>
      <c r="E47" s="95">
        <f>'DOE25'!H48</f>
        <v>-9667</v>
      </c>
      <c r="F47" s="95">
        <f>'DOE25'!I48</f>
        <v>0</v>
      </c>
      <c r="G47" s="95">
        <f>'DOE25'!J48</f>
        <v>571646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1032956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1032956</v>
      </c>
      <c r="D50" s="41">
        <f>SUM(D34:D49)</f>
        <v>0</v>
      </c>
      <c r="E50" s="41">
        <f>SUM(E34:E49)</f>
        <v>-9667</v>
      </c>
      <c r="F50" s="41">
        <f>SUM(F34:F49)</f>
        <v>0</v>
      </c>
      <c r="G50" s="41">
        <f>SUM(G34:G49)</f>
        <v>571646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2492305</v>
      </c>
      <c r="D51" s="41">
        <f>D50+D31</f>
        <v>71833</v>
      </c>
      <c r="E51" s="41">
        <f>E50+E31</f>
        <v>334966</v>
      </c>
      <c r="F51" s="41">
        <f>F50+F31</f>
        <v>0</v>
      </c>
      <c r="G51" s="41">
        <f>G50+G31</f>
        <v>571646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21092748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824822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109</v>
      </c>
      <c r="D59" s="95">
        <f>'DOE25'!G96</f>
        <v>187</v>
      </c>
      <c r="E59" s="95">
        <f>'DOE25'!H96</f>
        <v>0</v>
      </c>
      <c r="F59" s="95">
        <f>'DOE25'!I96</f>
        <v>0</v>
      </c>
      <c r="G59" s="95">
        <f>'DOE25'!J96</f>
        <v>10813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614771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72277</v>
      </c>
      <c r="D61" s="95">
        <f>SUM('DOE25'!G98:G110)</f>
        <v>20029</v>
      </c>
      <c r="E61" s="95">
        <f>SUM('DOE25'!H98:H110)</f>
        <v>39889</v>
      </c>
      <c r="F61" s="95">
        <f>SUM('DOE25'!I98:I110)</f>
        <v>0</v>
      </c>
      <c r="G61" s="95">
        <f>SUM('DOE25'!J98:J110)</f>
        <v>5248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897208</v>
      </c>
      <c r="D62" s="130">
        <f>SUM(D57:D61)</f>
        <v>634987</v>
      </c>
      <c r="E62" s="130">
        <f>SUM(E57:E61)</f>
        <v>39889</v>
      </c>
      <c r="F62" s="130">
        <f>SUM(F57:F61)</f>
        <v>0</v>
      </c>
      <c r="G62" s="130">
        <f>SUM(G57:G61)</f>
        <v>16061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21989956</v>
      </c>
      <c r="D63" s="22">
        <f>D56+D62</f>
        <v>634987</v>
      </c>
      <c r="E63" s="22">
        <f>E56+E62</f>
        <v>39889</v>
      </c>
      <c r="F63" s="22">
        <f>F56+F62</f>
        <v>0</v>
      </c>
      <c r="G63" s="22">
        <f>G56+G62</f>
        <v>16061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10552205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3238794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13790999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19975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218027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22545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15039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260547</v>
      </c>
      <c r="D78" s="130">
        <f>SUM(D72:D77)</f>
        <v>15039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14051546</v>
      </c>
      <c r="D81" s="130">
        <f>SUM(D79:D80)+D78+D70</f>
        <v>15039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473803</v>
      </c>
      <c r="D88" s="95">
        <f>SUM('DOE25'!G153:G161)</f>
        <v>436736</v>
      </c>
      <c r="E88" s="95">
        <f>SUM('DOE25'!H153:H161)</f>
        <v>1236605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473803</v>
      </c>
      <c r="D91" s="131">
        <f>SUM(D85:D90)</f>
        <v>436736</v>
      </c>
      <c r="E91" s="131">
        <f>SUM(E85:E90)</f>
        <v>1236605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76857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76857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36515305</v>
      </c>
      <c r="D104" s="86">
        <f>D63+D81+D91+D103</f>
        <v>1163619</v>
      </c>
      <c r="E104" s="86">
        <f>E63+E81+E91+E103</f>
        <v>1276494</v>
      </c>
      <c r="F104" s="86">
        <f>F63+F81+F91+F103</f>
        <v>0</v>
      </c>
      <c r="G104" s="86">
        <f>G63+G81+G103</f>
        <v>16061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14030568</v>
      </c>
      <c r="D109" s="24" t="s">
        <v>289</v>
      </c>
      <c r="E109" s="95">
        <f>('DOE25'!L276)+('DOE25'!L295)+('DOE25'!L314)</f>
        <v>383024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7105496</v>
      </c>
      <c r="D110" s="24" t="s">
        <v>289</v>
      </c>
      <c r="E110" s="95">
        <f>('DOE25'!L277)+('DOE25'!L296)+('DOE25'!L315)</f>
        <v>343382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228702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554594</v>
      </c>
      <c r="D112" s="24" t="s">
        <v>289</v>
      </c>
      <c r="E112" s="95">
        <f>+('DOE25'!L279)+('DOE25'!L298)+('DOE25'!L317)</f>
        <v>24453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105201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21919360</v>
      </c>
      <c r="D115" s="86">
        <f>SUM(D109:D114)</f>
        <v>0</v>
      </c>
      <c r="E115" s="86">
        <f>SUM(E109:E114)</f>
        <v>856060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4393655</v>
      </c>
      <c r="D118" s="24" t="s">
        <v>289</v>
      </c>
      <c r="E118" s="95">
        <f>+('DOE25'!L281)+('DOE25'!L300)+('DOE25'!L319)</f>
        <v>209803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1352203</v>
      </c>
      <c r="D119" s="24" t="s">
        <v>289</v>
      </c>
      <c r="E119" s="95">
        <f>+('DOE25'!L282)+('DOE25'!L301)+('DOE25'!L320)</f>
        <v>188769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980406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1999408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6630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3642923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2051939</v>
      </c>
      <c r="D124" s="24" t="s">
        <v>289</v>
      </c>
      <c r="E124" s="95">
        <f>+('DOE25'!L287)+('DOE25'!L306)+('DOE25'!L325)</f>
        <v>3361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1163989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14420534</v>
      </c>
      <c r="D128" s="86">
        <f>SUM(D118:D127)</f>
        <v>1163989</v>
      </c>
      <c r="E128" s="86">
        <f>SUM(E118:E127)</f>
        <v>408563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299675</v>
      </c>
      <c r="D130" s="24" t="s">
        <v>289</v>
      </c>
      <c r="E130" s="129">
        <f>'DOE25'!L336</f>
        <v>38767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76857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16061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-16061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376532</v>
      </c>
      <c r="D144" s="141">
        <f>SUM(D130:D143)</f>
        <v>0</v>
      </c>
      <c r="E144" s="141">
        <f>SUM(E130:E143)</f>
        <v>38767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36716426</v>
      </c>
      <c r="D145" s="86">
        <f>(D115+D128+D144)</f>
        <v>1163989</v>
      </c>
      <c r="E145" s="86">
        <f>(E115+E128+E144)</f>
        <v>1303390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MERRIMACK VALLEY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14254</v>
      </c>
    </row>
    <row r="5" spans="1:4" x14ac:dyDescent="0.2">
      <c r="B5" t="s">
        <v>704</v>
      </c>
      <c r="C5" s="179">
        <f>IF('DOE25'!G665+'DOE25'!G670=0,0,ROUND('DOE25'!G672,0))</f>
        <v>13371</v>
      </c>
    </row>
    <row r="6" spans="1:4" x14ac:dyDescent="0.2">
      <c r="B6" t="s">
        <v>62</v>
      </c>
      <c r="C6" s="179">
        <f>IF('DOE25'!H665+'DOE25'!H670=0,0,ROUND('DOE25'!H672,0))</f>
        <v>13387</v>
      </c>
    </row>
    <row r="7" spans="1:4" x14ac:dyDescent="0.2">
      <c r="B7" t="s">
        <v>705</v>
      </c>
      <c r="C7" s="179">
        <f>IF('DOE25'!I665+'DOE25'!I670=0,0,ROUND('DOE25'!I672,0))</f>
        <v>13762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14413592</v>
      </c>
      <c r="D10" s="182">
        <f>ROUND((C10/$C$28)*100,1)</f>
        <v>37.799999999999997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7448878</v>
      </c>
      <c r="D11" s="182">
        <f>ROUND((C11/$C$28)*100,1)</f>
        <v>19.5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228702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579047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4603458</v>
      </c>
      <c r="D15" s="182">
        <f t="shared" ref="D15:D27" si="0">ROUND((C15/$C$28)*100,1)</f>
        <v>12.1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1540972</v>
      </c>
      <c r="D16" s="182">
        <f t="shared" si="0"/>
        <v>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980406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1999408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6630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3642923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2055300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105201</v>
      </c>
      <c r="D24" s="182">
        <f t="shared" si="0"/>
        <v>0.3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529189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38133706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338442</v>
      </c>
    </row>
    <row r="30" spans="1:4" x14ac:dyDescent="0.2">
      <c r="B30" s="187" t="s">
        <v>729</v>
      </c>
      <c r="C30" s="180">
        <f>SUM(C28:C29)</f>
        <v>38472148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21092748</v>
      </c>
      <c r="D35" s="182">
        <f t="shared" ref="D35:D40" si="1">ROUND((C35/$C$41)*100,1)</f>
        <v>55.1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953345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13790999</v>
      </c>
      <c r="D37" s="182">
        <f t="shared" si="1"/>
        <v>36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275586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2147144</v>
      </c>
      <c r="D39" s="182">
        <f t="shared" si="1"/>
        <v>5.6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38259822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MERRIMACK VALLEY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2016-08-30T13:06:53Z</cp:lastPrinted>
  <dcterms:created xsi:type="dcterms:W3CDTF">1997-12-04T19:04:30Z</dcterms:created>
  <dcterms:modified xsi:type="dcterms:W3CDTF">2016-11-30T16:35:08Z</dcterms:modified>
</cp:coreProperties>
</file>