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45" yWindow="90" windowWidth="15825" windowHeight="124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611" i="1" l="1"/>
  <c r="G611" i="1"/>
  <c r="F611" i="1"/>
  <c r="F613" i="1"/>
  <c r="F612" i="1"/>
  <c r="H564" i="1" l="1"/>
  <c r="H563" i="1"/>
  <c r="H562" i="1"/>
  <c r="G564" i="1"/>
  <c r="G563" i="1"/>
  <c r="G562" i="1"/>
  <c r="F564" i="1"/>
  <c r="F563" i="1"/>
  <c r="F562" i="1"/>
  <c r="J564" i="1"/>
  <c r="J563" i="1"/>
  <c r="J562" i="1"/>
  <c r="I564" i="1"/>
  <c r="I563" i="1"/>
  <c r="I562" i="1"/>
  <c r="I557" i="1"/>
  <c r="H557" i="1"/>
  <c r="G557" i="1"/>
  <c r="F557" i="1"/>
  <c r="G528" i="1"/>
  <c r="G527" i="1"/>
  <c r="G526" i="1"/>
  <c r="G523" i="1"/>
  <c r="G522" i="1"/>
  <c r="G521" i="1"/>
  <c r="F528" i="1"/>
  <c r="F527" i="1"/>
  <c r="F526" i="1"/>
  <c r="F523" i="1"/>
  <c r="F522" i="1"/>
  <c r="F521" i="1"/>
  <c r="J531" i="1"/>
  <c r="J522" i="1" l="1"/>
  <c r="I523" i="1"/>
  <c r="H523" i="1"/>
  <c r="I522" i="1" l="1"/>
  <c r="H522" i="1"/>
  <c r="I521" i="1"/>
  <c r="H521" i="1"/>
  <c r="J604" i="1" l="1"/>
  <c r="I604" i="1"/>
  <c r="H604" i="1"/>
  <c r="F276" i="1"/>
  <c r="H320" i="1"/>
  <c r="H319" i="1"/>
  <c r="F320" i="1"/>
  <c r="F314" i="1"/>
  <c r="F301" i="1"/>
  <c r="I281" i="1"/>
  <c r="H282" i="1"/>
  <c r="H281" i="1"/>
  <c r="F282" i="1"/>
  <c r="F279" i="1"/>
  <c r="F233" i="1" l="1"/>
  <c r="F215" i="1"/>
  <c r="F197" i="1"/>
  <c r="F245" i="1"/>
  <c r="F227" i="1"/>
  <c r="F209" i="1"/>
  <c r="H225" i="1" l="1"/>
  <c r="H226" i="1" l="1"/>
  <c r="I243" i="1"/>
  <c r="I239" i="1"/>
  <c r="I238" i="1"/>
  <c r="I234" i="1"/>
  <c r="H244" i="1"/>
  <c r="H243" i="1"/>
  <c r="H239" i="1"/>
  <c r="H238" i="1"/>
  <c r="H234" i="1"/>
  <c r="F243" i="1"/>
  <c r="F240" i="1"/>
  <c r="F238" i="1"/>
  <c r="F236" i="1"/>
  <c r="F234" i="1"/>
  <c r="J220" i="1"/>
  <c r="J216" i="1"/>
  <c r="I225" i="1"/>
  <c r="I221" i="1"/>
  <c r="I220" i="1"/>
  <c r="I216" i="1"/>
  <c r="H221" i="1"/>
  <c r="H220" i="1"/>
  <c r="H216" i="1"/>
  <c r="F225" i="1"/>
  <c r="F222" i="1"/>
  <c r="F220" i="1"/>
  <c r="F218" i="1"/>
  <c r="F216" i="1"/>
  <c r="J202" i="1"/>
  <c r="I207" i="1"/>
  <c r="I203" i="1"/>
  <c r="I202" i="1"/>
  <c r="I198" i="1"/>
  <c r="H208" i="1"/>
  <c r="H207" i="1"/>
  <c r="H203" i="1"/>
  <c r="H202" i="1"/>
  <c r="H198" i="1"/>
  <c r="F207" i="1"/>
  <c r="F204" i="1"/>
  <c r="F202" i="1"/>
  <c r="F200" i="1"/>
  <c r="F198" i="1"/>
  <c r="G97" i="1" l="1"/>
  <c r="I429" i="1"/>
  <c r="H418" i="1"/>
  <c r="H429" i="1"/>
  <c r="K429" i="1"/>
  <c r="I418" i="1"/>
  <c r="J472" i="1"/>
  <c r="H403" i="1"/>
  <c r="H400" i="1"/>
  <c r="F368" i="1" l="1"/>
  <c r="F367" i="1"/>
  <c r="K358" i="1"/>
  <c r="J360" i="1"/>
  <c r="I358" i="1"/>
  <c r="I360" i="1"/>
  <c r="I359" i="1"/>
  <c r="H360" i="1"/>
  <c r="H359" i="1"/>
  <c r="H358" i="1"/>
  <c r="G360" i="1"/>
  <c r="G358" i="1"/>
  <c r="G359" i="1"/>
  <c r="F358" i="1" l="1"/>
  <c r="H472" i="1" l="1"/>
  <c r="H468" i="1"/>
  <c r="F50" i="1" l="1"/>
  <c r="H458" i="1" l="1"/>
  <c r="H457" i="1"/>
  <c r="G458" i="1"/>
  <c r="G457" i="1"/>
  <c r="J96" i="1"/>
  <c r="H442" i="1" l="1"/>
  <c r="G442" i="1"/>
  <c r="H48" i="1" l="1"/>
  <c r="H22" i="1"/>
  <c r="H12" i="1"/>
  <c r="F9" i="1" l="1"/>
  <c r="F1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2" i="10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9" i="10"/>
  <c r="C21" i="10"/>
  <c r="L250" i="1"/>
  <c r="L332" i="1"/>
  <c r="L254" i="1"/>
  <c r="C25" i="10"/>
  <c r="L268" i="1"/>
  <c r="L269" i="1"/>
  <c r="L349" i="1"/>
  <c r="L350" i="1"/>
  <c r="I665" i="1"/>
  <c r="I670" i="1"/>
  <c r="F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J257" i="1" s="1"/>
  <c r="J271" i="1" s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L545" i="1" s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J634" i="1" s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J644" i="1" s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164" i="2"/>
  <c r="C18" i="2"/>
  <c r="C26" i="10"/>
  <c r="L328" i="1"/>
  <c r="L351" i="1"/>
  <c r="I662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L393" i="1"/>
  <c r="F22" i="13"/>
  <c r="H25" i="13"/>
  <c r="C25" i="13" s="1"/>
  <c r="J651" i="1"/>
  <c r="J640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E16" i="13"/>
  <c r="J655" i="1"/>
  <c r="J645" i="1"/>
  <c r="L570" i="1"/>
  <c r="I571" i="1"/>
  <c r="I545" i="1"/>
  <c r="J636" i="1"/>
  <c r="G36" i="2"/>
  <c r="L565" i="1"/>
  <c r="G545" i="1"/>
  <c r="H545" i="1"/>
  <c r="K551" i="1"/>
  <c r="K552" i="1" s="1"/>
  <c r="C22" i="13"/>
  <c r="C138" i="2"/>
  <c r="H33" i="13"/>
  <c r="A13" i="12" l="1"/>
  <c r="C121" i="2"/>
  <c r="C13" i="10"/>
  <c r="C111" i="2"/>
  <c r="L247" i="1"/>
  <c r="H660" i="1" s="1"/>
  <c r="C20" i="10"/>
  <c r="C18" i="10"/>
  <c r="C16" i="10"/>
  <c r="C11" i="10"/>
  <c r="C109" i="2"/>
  <c r="C115" i="2" s="1"/>
  <c r="G257" i="1"/>
  <c r="G271" i="1" s="1"/>
  <c r="C17" i="10"/>
  <c r="D5" i="13"/>
  <c r="C5" i="13" s="1"/>
  <c r="L211" i="1"/>
  <c r="F660" i="1" s="1"/>
  <c r="F664" i="1" s="1"/>
  <c r="F672" i="1" s="1"/>
  <c r="C4" i="10" s="1"/>
  <c r="C10" i="10"/>
  <c r="H257" i="1"/>
  <c r="H271" i="1" s="1"/>
  <c r="E33" i="13"/>
  <c r="D35" i="13" s="1"/>
  <c r="L229" i="1"/>
  <c r="G660" i="1" s="1"/>
  <c r="G664" i="1" s="1"/>
  <c r="G667" i="1" s="1"/>
  <c r="C16" i="13"/>
  <c r="C128" i="2"/>
  <c r="H661" i="1"/>
  <c r="G661" i="1"/>
  <c r="I661" i="1" s="1"/>
  <c r="L362" i="1"/>
  <c r="C15" i="10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H664" i="1" l="1"/>
  <c r="H672" i="1" s="1"/>
  <c r="C6" i="10" s="1"/>
  <c r="C145" i="2"/>
  <c r="L257" i="1"/>
  <c r="L271" i="1" s="1"/>
  <c r="G632" i="1" s="1"/>
  <c r="J632" i="1" s="1"/>
  <c r="F667" i="1"/>
  <c r="C28" i="10"/>
  <c r="D24" i="10" s="1"/>
  <c r="D31" i="13"/>
  <c r="C31" i="13" s="1"/>
  <c r="G672" i="1"/>
  <c r="C5" i="10" s="1"/>
  <c r="L408" i="1"/>
  <c r="I660" i="1"/>
  <c r="I664" i="1" s="1"/>
  <c r="I672" i="1" s="1"/>
  <c r="C7" i="10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H667" i="1"/>
  <c r="D13" i="10"/>
  <c r="D26" i="10"/>
  <c r="D11" i="10"/>
  <c r="D17" i="10"/>
  <c r="D27" i="10"/>
  <c r="D25" i="10"/>
  <c r="D15" i="10"/>
  <c r="D10" i="10"/>
  <c r="D21" i="10"/>
  <c r="D20" i="10"/>
  <c r="D12" i="10"/>
  <c r="D18" i="10"/>
  <c r="D16" i="10"/>
  <c r="C30" i="10"/>
  <c r="D22" i="10"/>
  <c r="D23" i="10"/>
  <c r="D19" i="10"/>
  <c r="G637" i="1"/>
  <c r="J637" i="1" s="1"/>
  <c r="H646" i="1"/>
  <c r="J646" i="1" s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<sst xmlns="http://schemas.openxmlformats.org/spreadsheetml/2006/main" count="3970" uniqueCount="926">
  <si>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</si>
  <si>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</si>
  <si>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</si>
  <si>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</si>
  <si>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</si>
  <si>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</si>
  <si>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</si>
  <si>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</si>
  <si>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</si>
  <si>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</si>
  <si>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</si>
  <si>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</si>
  <si>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</si>
  <si>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</si>
  <si>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</si>
  <si>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</si>
  <si>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</si>
  <si>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</si>
  <si>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</si>
  <si>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</si>
  <si>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</si>
  <si>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</si>
  <si>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</si>
  <si>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</si>
  <si>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</si>
  <si>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</si>
  <si>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</si>
  <si>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</si>
  <si>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</si>
  <si>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</si>
  <si>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</si>
  <si>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</si>
  <si>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</si>
  <si>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</si>
  <si>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</si>
  <si>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</si>
  <si>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</si>
  <si>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</si>
  <si>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</si>
  <si>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</si>
  <si>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</si>
  <si>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</si>
  <si>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</si>
  <si>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</si>
  <si>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</si>
  <si>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</si>
  <si>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</si>
  <si>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</si>
  <si>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</si>
  <si>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</si>
  <si>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</si>
  <si>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</si>
  <si>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</si>
  <si>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</si>
  <si>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</si>
  <si>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</si>
  <si>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</si>
  <si>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</si>
  <si>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</si>
  <si>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</si>
  <si>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</si>
  <si>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</si>
  <si>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</si>
  <si>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</si>
  <si>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</si>
  <si>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</si>
  <si>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</si>
  <si>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</si>
  <si>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</si>
  <si>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</si>
  <si>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</si>
  <si>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</si>
  <si>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</si>
  <si>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</si>
  <si>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</si>
  <si>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</si>
  <si>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</si>
  <si>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</si>
  <si>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</si>
  <si>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</si>
  <si>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</si>
  <si>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</si>
  <si>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</si>
  <si>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</si>
  <si>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</si>
  <si>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</si>
  <si>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</si>
  <si>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</si>
  <si>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</si>
  <si>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</si>
  <si>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</si>
  <si>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</si>
  <si>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</si>
  <si>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</si>
  <si>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</si>
  <si>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</si>
  <si>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</si>
  <si>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</si>
  <si>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</si>
  <si>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</si>
  <si>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</si>
  <si>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</si>
  <si>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</si>
  <si>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</si>
  <si>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</si>
  <si>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</si>
  <si>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</si>
  <si>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</si>
  <si>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</si>
  <si>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</si>
  <si>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</si>
  <si>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</si>
  <si>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</si>
  <si>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</si>
  <si>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</si>
  <si>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</si>
  <si>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</si>
  <si>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</si>
  <si>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</si>
  <si>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</si>
  <si>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</si>
  <si>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</si>
  <si>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</si>
  <si>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</si>
  <si>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</si>
  <si>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</si>
  <si>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</si>
  <si>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</si>
  <si>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</si>
  <si>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</si>
  <si>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</si>
  <si>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</si>
  <si>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</si>
  <si>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</si>
  <si>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</si>
  <si>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</si>
  <si>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</si>
  <si>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</si>
  <si>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</si>
  <si>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</si>
  <si>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</si>
  <si>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</si>
  <si>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</si>
  <si>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</si>
  <si>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</si>
  <si>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</si>
  <si>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</si>
  <si>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</si>
  <si>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</si>
  <si>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</si>
  <si>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</si>
  <si>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</si>
  <si>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</si>
  <si>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</si>
  <si>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</si>
  <si>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</si>
  <si>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</si>
  <si>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</si>
  <si>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</si>
  <si>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</si>
  <si>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</si>
  <si>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</si>
  <si>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</si>
  <si>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</si>
  <si>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</si>
  <si>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</si>
  <si>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</si>
  <si>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</si>
  <si>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</si>
  <si>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</si>
  <si>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</si>
  <si>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</si>
  <si>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</si>
  <si>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</si>
  <si>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</si>
  <si>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</si>
  <si>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</si>
  <si>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</si>
  <si>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</si>
  <si>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</si>
  <si>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</si>
  <si>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</si>
  <si>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</si>
  <si>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</si>
  <si>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</si>
  <si>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</si>
  <si>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</si>
  <si>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</si>
  <si>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</si>
  <si>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</si>
  <si>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</si>
  <si>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</si>
  <si>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</si>
  <si>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</si>
  <si>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</si>
  <si>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</si>
  <si>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</si>
  <si>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</si>
  <si>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</si>
  <si>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</si>
  <si>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</si>
  <si>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</si>
  <si>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</si>
  <si>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</si>
  <si>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</si>
  <si>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</si>
  <si>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</si>
  <si>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</si>
  <si>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</si>
  <si>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</si>
  <si>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</si>
  <si>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</si>
  <si>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</si>
  <si>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</si>
  <si>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</si>
  <si>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</si>
  <si>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</si>
  <si>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</si>
  <si>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</si>
  <si>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</si>
  <si>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</si>
  <si>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</si>
  <si>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</si>
  <si>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</si>
  <si>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</si>
  <si>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</si>
  <si>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</si>
  <si>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</si>
  <si>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</si>
  <si>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</si>
  <si>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</si>
  <si>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</si>
  <si>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</si>
  <si>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</si>
  <si>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</si>
  <si>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</si>
  <si>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</si>
  <si>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</si>
  <si>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</si>
  <si>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</si>
  <si>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</si>
  <si>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</si>
  <si>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</si>
  <si>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</si>
  <si>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</si>
  <si>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</si>
  <si>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</si>
  <si>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</si>
  <si>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</si>
  <si>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</si>
  <si>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</si>
  <si>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</si>
  <si>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</si>
  <si>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</si>
  <si>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</si>
  <si>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</si>
  <si>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</si>
  <si>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</si>
  <si>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</si>
  <si>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</si>
  <si>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</si>
  <si>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</si>
  <si>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</si>
  <si>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</si>
  <si>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</si>
  <si>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</si>
  <si>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</si>
  <si>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</si>
  <si>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</si>
  <si>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</si>
  <si>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</si>
  <si>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</si>
  <si>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</si>
  <si>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</si>
  <si>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</si>
  <si>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</si>
  <si>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</si>
  <si>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</si>
  <si>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</si>
  <si>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</si>
  <si>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</si>
  <si>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</si>
  <si>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</si>
  <si>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</si>
  <si>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</si>
  <si>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</si>
  <si>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</si>
  <si>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</si>
  <si>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</si>
  <si>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</si>
  <si>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</si>
  <si>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</si>
  <si>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</si>
  <si>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</si>
  <si>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</si>
  <si>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</si>
  <si>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</si>
  <si>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</si>
  <si>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</si>
  <si>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</si>
  <si>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</si>
  <si>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</si>
  <si>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</si>
  <si>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</si>
  <si>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</si>
  <si>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</si>
  <si>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</si>
  <si>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</si>
  <si>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</si>
  <si>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</si>
  <si>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</si>
  <si>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</si>
  <si>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</si>
  <si>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</si>
  <si>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</si>
  <si>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</si>
  <si>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</si>
  <si>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</si>
  <si>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</si>
  <si>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</si>
  <si>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</si>
  <si>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</si>
  <si>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</si>
  <si>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</si>
  <si>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</si>
  <si>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</si>
  <si>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</si>
  <si>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</si>
  <si>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</si>
  <si>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</si>
  <si>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</si>
  <si>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</si>
  <si>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</si>
  <si>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</si>
  <si>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</si>
  <si>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</si>
  <si>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</si>
  <si>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</si>
  <si>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</si>
  <si>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</si>
  <si>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</si>
  <si>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</si>
  <si>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</si>
  <si>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</si>
  <si>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</si>
  <si>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</si>
  <si>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</si>
  <si>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</si>
  <si>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</si>
  <si>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</si>
  <si>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</si>
  <si>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</si>
  <si>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</si>
  <si>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</si>
  <si>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</si>
  <si>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</si>
  <si>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</si>
  <si>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</si>
  <si>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</si>
  <si>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</si>
  <si>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</si>
  <si>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</si>
  <si>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</si>
  <si>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</si>
  <si>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</si>
  <si>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</si>
  <si>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</si>
  <si>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</si>
  <si>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</si>
  <si>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</si>
  <si>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</si>
  <si>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</si>
  <si>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</si>
  <si>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</si>
  <si>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</si>
  <si>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</si>
  <si>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</si>
  <si>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</si>
  <si>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</si>
  <si>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</si>
  <si>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</si>
  <si>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</si>
  <si>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</si>
  <si>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</si>
  <si>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</si>
  <si>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</si>
  <si>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</si>
  <si>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</si>
  <si>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</si>
  <si>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</si>
  <si>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</si>
  <si>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</si>
  <si>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</si>
  <si>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</si>
  <si>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</si>
  <si>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</si>
  <si>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</si>
  <si>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</si>
  <si>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</si>
  <si>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</si>
  <si>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</si>
  <si>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</si>
  <si>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</si>
  <si>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</si>
  <si>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</si>
  <si>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</si>
  <si>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</si>
  <si>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</si>
  <si>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</si>
  <si>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</si>
  <si>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</si>
  <si>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</si>
  <si>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</si>
  <si>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</si>
  <si>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</si>
  <si>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</si>
  <si>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</si>
  <si>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</si>
  <si>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</si>
  <si>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</si>
  <si>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</si>
  <si>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</si>
  <si>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</si>
  <si>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</si>
  <si>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</si>
  <si>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</si>
  <si>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</si>
  <si>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</si>
  <si>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</si>
  <si>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</si>
  <si>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</si>
  <si>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</si>
  <si>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</si>
  <si>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</si>
  <si>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</si>
  <si>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</si>
  <si>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</si>
  <si>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</si>
  <si>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</si>
  <si>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</si>
  <si>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</si>
  <si>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</si>
  <si>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</si>
  <si>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</si>
  <si>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</si>
  <si>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</si>
  <si>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</si>
  <si>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</si>
  <si>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</si>
  <si>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</si>
  <si>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</si>
  <si>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</si>
  <si>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</si>
  <si>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</si>
  <si>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</si>
  <si>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</si>
  <si>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</si>
  <si>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</si>
  <si>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</si>
  <si>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</si>
  <si>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</si>
  <si>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</si>
  <si>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</si>
  <si>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</si>
  <si>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</si>
  <si>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</si>
  <si>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</si>
  <si>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</si>
  <si>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</si>
  <si>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</si>
  <si>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</si>
  <si>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</si>
  <si>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</si>
  <si>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</si>
  <si>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</si>
  <si>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</si>
  <si>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</si>
  <si>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</si>
  <si>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</si>
  <si>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</si>
  <si>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</si>
  <si>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</si>
  <si>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</si>
  <si>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</si>
  <si>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</si>
  <si>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</si>
  <si>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</si>
  <si>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</si>
  <si>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</si>
  <si>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</si>
  <si>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</si>
  <si>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</si>
  <si>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</si>
  <si>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</si>
  <si>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</si>
  <si>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</si>
  <si>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</si>
  <si>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</si>
  <si>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</si>
  <si>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</si>
  <si>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</si>
  <si>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</si>
  <si>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</si>
  <si>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</si>
  <si>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</si>
  <si>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</si>
  <si>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</si>
  <si>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</si>
  <si>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</si>
  <si>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</si>
  <si>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</si>
  <si>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</si>
  <si>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</si>
  <si>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</si>
  <si>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</si>
  <si>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</si>
  <si>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</si>
  <si>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</si>
  <si>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</si>
  <si>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</si>
  <si>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</si>
  <si>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</si>
  <si>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</si>
  <si>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</si>
  <si>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</si>
  <si>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</si>
  <si>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</si>
  <si>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</si>
  <si>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</si>
  <si>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</si>
  <si>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</si>
  <si>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</si>
  <si>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</si>
  <si>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</si>
  <si>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</si>
  <si>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</si>
  <si>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</si>
  <si>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</si>
  <si>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</si>
  <si>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</si>
  <si>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</si>
  <si>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</si>
  <si>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</si>
  <si>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</si>
  <si>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</si>
  <si>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</si>
  <si>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</si>
  <si>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</si>
  <si>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</si>
  <si>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</si>
  <si>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</si>
  <si>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</si>
  <si>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</si>
  <si>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</si>
  <si>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</si>
  <si>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</si>
  <si>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</si>
  <si>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</si>
  <si>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</si>
  <si>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</si>
  <si>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</si>
  <si>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</si>
  <si>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</si>
  <si>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</si>
  <si>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</si>
  <si>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</si>
  <si>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</si>
  <si>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</si>
  <si>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</si>
  <si>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</si>
  <si>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</si>
  <si>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</si>
  <si>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</si>
  <si>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</si>
  <si>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</si>
  <si>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</si>
  <si>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</si>
  <si>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</si>
  <si>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</si>
  <si>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</si>
  <si>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</si>
  <si>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</si>
  <si>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</si>
  <si>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</si>
  <si>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</si>
  <si>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</si>
  <si>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</si>
  <si>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</si>
  <si>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</si>
  <si>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</si>
  <si>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</si>
  <si>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</si>
  <si>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</si>
  <si>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</si>
  <si>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</si>
  <si>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</si>
  <si>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</si>
  <si>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</si>
  <si>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</si>
  <si>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</si>
  <si>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</si>
  <si>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</si>
  <si>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</si>
  <si>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</si>
  <si>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</si>
  <si>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</si>
  <si>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</si>
  <si>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</si>
  <si>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</si>
  <si>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</si>
  <si>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</si>
  <si>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</si>
  <si>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</si>
  <si>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</si>
  <si>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</si>
  <si>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</si>
  <si>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</si>
  <si>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</si>
  <si>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</si>
  <si>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</si>
  <si>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</si>
  <si>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</si>
  <si>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</si>
  <si>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</si>
  <si>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</si>
  <si>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</si>
  <si>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</si>
  <si>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</si>
  <si>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</si>
  <si>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</si>
  <si>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</si>
  <si>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</si>
  <si>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</si>
  <si>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</si>
  <si>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</si>
  <si>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</si>
  <si>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</si>
  <si>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</si>
  <si>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</si>
  <si>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</si>
  <si>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</si>
  <si>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</si>
  <si>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</si>
  <si>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</si>
  <si>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</si>
  <si>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</si>
  <si>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</si>
  <si>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</si>
  <si>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</si>
  <si>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</si>
  <si>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</si>
  <si>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</si>
  <si>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</si>
  <si>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</si>
  <si>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</si>
  <si>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</si>
  <si>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</si>
  <si>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</si>
  <si>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</si>
  <si>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</si>
  <si>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</si>
  <si>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</si>
  <si>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</si>
  <si>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</si>
  <si>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</si>
  <si>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</si>
  <si>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</si>
  <si>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</si>
  <si>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</si>
  <si>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</si>
  <si>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</si>
  <si>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</si>
  <si>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</si>
  <si>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</si>
  <si>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</si>
  <si>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</si>
  <si>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</si>
  <si>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</si>
  <si>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</si>
  <si>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</si>
  <si>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</si>
  <si>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</si>
  <si>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</si>
  <si>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</si>
  <si>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</si>
  <si>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</si>
  <si>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</si>
  <si>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</si>
  <si>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</si>
  <si>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</si>
  <si>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</si>
  <si>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</si>
  <si>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</si>
  <si>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</si>
  <si>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</si>
  <si>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</si>
  <si>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</si>
  <si>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</si>
  <si>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</si>
  <si>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</si>
  <si>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</si>
  <si>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</si>
  <si>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</si>
  <si>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</si>
  <si>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</si>
  <si>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</si>
  <si>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</si>
  <si>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</si>
  <si>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</si>
  <si>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</si>
  <si>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</si>
  <si>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</si>
  <si>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</si>
  <si>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</si>
  <si>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</si>
  <si>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</si>
  <si>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</si>
  <si>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</si>
  <si>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</si>
  <si>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</si>
  <si>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</si>
  <si>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</si>
  <si>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</si>
  <si>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</si>
  <si>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</si>
  <si>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</si>
  <si>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</si>
  <si>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</si>
  <si>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</si>
  <si>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</si>
  <si>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</si>
  <si>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</si>
  <si>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</si>
  <si>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</si>
  <si>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</si>
  <si>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</si>
  <si>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</si>
  <si>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</si>
  <si>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</si>
  <si>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</si>
  <si>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</si>
  <si>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</si>
  <si>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</si>
  <si>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</si>
  <si>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</si>
  <si>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</si>
  <si>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</si>
  <si>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</si>
  <si>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</si>
  <si>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</si>
  <si>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</si>
  <si>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</si>
  <si>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</si>
  <si>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</si>
  <si>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</si>
  <si>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</si>
  <si>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</si>
  <si>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</si>
  <si>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</si>
  <si>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</si>
  <si>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</si>
  <si>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</si>
  <si>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</si>
  <si>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</si>
  <si>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</si>
  <si>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</si>
  <si>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</si>
  <si>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</si>
  <si>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</si>
  <si>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</si>
  <si>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</si>
  <si>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</si>
  <si>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</si>
  <si>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</si>
  <si>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</si>
  <si>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</si>
  <si>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</si>
  <si>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</si>
  <si>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</si>
  <si>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</si>
  <si>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</si>
  <si>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</si>
  <si>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</si>
  <si>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</si>
  <si>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</si>
  <si>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</si>
  <si>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</si>
  <si>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</si>
  <si>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</si>
  <si>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</si>
  <si>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</si>
  <si>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</si>
  <si>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</si>
  <si>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</si>
  <si>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</si>
  <si>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</si>
  <si>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</si>
  <si>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</si>
  <si>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</si>
  <si>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</si>
  <si>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</si>
  <si>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</si>
  <si>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</si>
  <si>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</si>
  <si>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</si>
  <si>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</si>
  <si>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</si>
  <si>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</si>
  <si>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</si>
  <si>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</si>
  <si>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</si>
  <si>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</si>
  <si>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</si>
  <si>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</si>
  <si>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</si>
  <si>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</si>
  <si>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</si>
  <si>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</si>
  <si>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</si>
  <si>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</si>
  <si>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</si>
  <si>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</si>
  <si>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</si>
  <si>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</si>
  <si>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</si>
  <si>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</si>
  <si>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</si>
  <si>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</si>
  <si>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</si>
  <si>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</si>
  <si>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</si>
  <si>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</si>
  <si>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</si>
  <si>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</si>
  <si>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</si>
  <si>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</si>
  <si>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</si>
  <si>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</si>
  <si>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</si>
  <si>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</si>
  <si>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</si>
  <si>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</si>
  <si>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</si>
  <si>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</si>
  <si>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</si>
  <si>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</si>
  <si>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</si>
  <si>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</si>
  <si>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</si>
  <si>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</si>
  <si>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</si>
  <si>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</si>
  <si>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</si>
  <si>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</si>
  <si>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</si>
  <si>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</si>
  <si>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</si>
  <si>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</si>
  <si>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</si>
  <si>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</si>
  <si>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</si>
  <si>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</si>
  <si>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</si>
  <si>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</si>
  <si>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</si>
  <si>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</si>
  <si>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</si>
  <si>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</si>
  <si>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</si>
  <si>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</si>
  <si>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</si>
  <si>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</si>
  <si>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</si>
  <si>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</si>
  <si>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</si>
  <si>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</si>
  <si>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</si>
  <si>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</si>
  <si>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</si>
  <si>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</si>
  <si>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</si>
  <si>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</si>
  <si>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</si>
  <si>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</si>
  <si>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</si>
  <si>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</si>
  <si>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</si>
  <si>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</si>
  <si>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</si>
  <si>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</si>
  <si>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</si>
  <si>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</si>
  <si>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</si>
  <si>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</si>
  <si>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</si>
  <si>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</si>
  <si>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</si>
  <si>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</si>
  <si>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</si>
  <si>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</si>
  <si>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</si>
  <si>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</si>
  <si>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</si>
  <si>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</si>
  <si>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</si>
  <si>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</si>
  <si>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</si>
  <si>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</si>
  <si>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</si>
  <si>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</si>
  <si>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</si>
  <si>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</si>
  <si>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FUND EQUITY AUDITOR ADJUSTMENTS</t>
  </si>
  <si>
    <t>NON-EXPENDABLE TRUSTS</t>
  </si>
  <si>
    <t>FUND 70 - UNREALIZED LOSS</t>
  </si>
  <si>
    <t>01/00</t>
  </si>
  <si>
    <t>01/20</t>
  </si>
  <si>
    <t>07/10</t>
  </si>
  <si>
    <t>07/15</t>
  </si>
  <si>
    <t>July 2013</t>
  </si>
  <si>
    <t>Aug 2023</t>
  </si>
  <si>
    <t>Jan 2008</t>
  </si>
  <si>
    <t>Jan 2028</t>
  </si>
  <si>
    <t>Nov 2014</t>
  </si>
  <si>
    <t>Nov 2019</t>
  </si>
  <si>
    <t>MILFORD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</si>
</sst>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925</v>
      </c>
      <c r="B2" s="21">
        <v>357</v>
      </c>
      <c r="C2" s="21">
        <v>357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370085.13+100</f>
        <v>370185.13</v>
      </c>
      <c r="G9" s="18">
        <v>246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f>250+247085.31+246453.37</f>
        <v>493788.68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77902.720000000001</v>
      </c>
      <c r="G12" s="18">
        <v>139487.57999999999</v>
      </c>
      <c r="H12" s="18">
        <f>120264.73+4805.53</f>
        <v>125070.26</v>
      </c>
      <c r="I12" s="18">
        <v>86816.99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66887.259999999995</v>
      </c>
      <c r="G13" s="18">
        <v>13044.6</v>
      </c>
      <c r="H13" s="18">
        <v>211748.17</v>
      </c>
      <c r="I13" s="18"/>
      <c r="J13" s="67">
        <f>SUM(I442)</f>
        <v>3879127.7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6189.78</v>
      </c>
      <c r="G14" s="18">
        <v>164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124328.13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1139281.7000000002</v>
      </c>
      <c r="G19" s="41">
        <f>SUM(G9:G18)</f>
        <v>152942.18</v>
      </c>
      <c r="H19" s="41">
        <f>SUM(H9:H18)</f>
        <v>336818.43</v>
      </c>
      <c r="I19" s="41">
        <f>SUM(I9:I18)</f>
        <v>86816.99</v>
      </c>
      <c r="J19" s="41">
        <f>SUM(J9:J18)</f>
        <v>3879127.7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71640.009999999995</v>
      </c>
      <c r="G22" s="18">
        <v>81984</v>
      </c>
      <c r="H22" s="18">
        <f>272775.88+2877.66</f>
        <v>275653.53999999998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40277.24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118941.9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230859.15</v>
      </c>
      <c r="G32" s="41">
        <f>SUM(G22:G31)</f>
        <v>81984</v>
      </c>
      <c r="H32" s="41">
        <f>SUM(H22:H31)</f>
        <v>275653.53999999998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124328.13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1014740.7000000002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127483.11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2736903.89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70958.179999999993</v>
      </c>
      <c r="H48" s="18">
        <f>59237.02+1927.87</f>
        <v>61164.89</v>
      </c>
      <c r="I48" s="18">
        <v>86816.99</v>
      </c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318979.76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667271.81-202157.15</f>
        <v>465114.66000000003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908422.55</v>
      </c>
      <c r="G51" s="41">
        <f>SUM(G35:G50)</f>
        <v>70958.179999999993</v>
      </c>
      <c r="H51" s="41">
        <f>SUM(H35:H50)</f>
        <v>61164.89</v>
      </c>
      <c r="I51" s="41">
        <f>SUM(I35:I50)</f>
        <v>86816.99</v>
      </c>
      <c r="J51" s="41">
        <f>SUM(J35:J50)</f>
        <v>3879127.7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1139281.7</v>
      </c>
      <c r="G52" s="41">
        <f>G51+G32</f>
        <v>152942.18</v>
      </c>
      <c r="H52" s="41">
        <f>H51+H32</f>
        <v>336818.43</v>
      </c>
      <c r="I52" s="41">
        <f>I51+I32</f>
        <v>86816.99</v>
      </c>
      <c r="J52" s="41">
        <f>J51+J32</f>
        <v>3879127.7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22851748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22851748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10897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1130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>
        <v>50790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967134.17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274335.15000000002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33354.199999999997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1286850.52</v>
      </c>
      <c r="G79" s="45" t="s">
        <v>289</v>
      </c>
      <c r="H79" s="41">
        <f>SUM(H63:H78)</f>
        <v>50790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1141.79</v>
      </c>
      <c r="G96" s="18"/>
      <c r="H96" s="18"/>
      <c r="I96" s="18"/>
      <c r="J96" s="18">
        <f>81957.38+61775.2</f>
        <v>143732.58000000002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412204.23+36.44</f>
        <v>412240.67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11747.63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1200</v>
      </c>
      <c r="G102" s="18"/>
      <c r="H102" s="18">
        <v>44577.45</v>
      </c>
      <c r="I102" s="18"/>
      <c r="J102" s="18">
        <v>16165.5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6360.93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20450.349999999999</v>
      </c>
      <c r="G111" s="41">
        <f>SUM(G96:G110)</f>
        <v>412240.67</v>
      </c>
      <c r="H111" s="41">
        <f>SUM(H96:H110)</f>
        <v>44577.45</v>
      </c>
      <c r="I111" s="41">
        <f>SUM(I96:I110)</f>
        <v>0</v>
      </c>
      <c r="J111" s="41">
        <f>SUM(J96:J110)</f>
        <v>159898.08000000002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24159048.870000001</v>
      </c>
      <c r="G112" s="41">
        <f>G60+G111</f>
        <v>412240.67</v>
      </c>
      <c r="H112" s="41">
        <f>H60+H79+H94+H111</f>
        <v>95367.45</v>
      </c>
      <c r="I112" s="41">
        <f>I60+I111</f>
        <v>0</v>
      </c>
      <c r="J112" s="41">
        <f>J60+J111</f>
        <v>159898.08000000002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7825626.7000000002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3004090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3895.7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10833612.399999999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240864.94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14250.96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80361.490000000005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5569.25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9491.18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341046.64</v>
      </c>
      <c r="G136" s="41">
        <f>SUM(G123:G135)</f>
        <v>9491.18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11174659.039999999</v>
      </c>
      <c r="G140" s="41">
        <f>G121+SUM(G136:G137)</f>
        <v>9491.18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>
        <v>15270.93</v>
      </c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15270.93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344476.9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118219.26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117677.77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233295.07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572344.68999999994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336047.23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12631.53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336047.23</v>
      </c>
      <c r="G162" s="41">
        <f>SUM(G150:G161)</f>
        <v>233295.07</v>
      </c>
      <c r="H162" s="41">
        <f>SUM(H150:H161)</f>
        <v>1165350.1500000001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336047.23</v>
      </c>
      <c r="G169" s="41">
        <f>G147+G162+SUM(G163:G168)</f>
        <v>248566</v>
      </c>
      <c r="H169" s="41">
        <f>H147+H162+SUM(H163:H168)</f>
        <v>1165350.1500000001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57581.56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57581.56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35000</v>
      </c>
      <c r="G187" s="18"/>
      <c r="H187" s="18">
        <v>1026.45</v>
      </c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35000</v>
      </c>
      <c r="G188" s="41">
        <f>SUM(G185:G187)</f>
        <v>0</v>
      </c>
      <c r="H188" s="41">
        <f>SUM(H185:H187)</f>
        <v>1026.45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35000</v>
      </c>
      <c r="G192" s="41">
        <f>G183+SUM(G188:G191)</f>
        <v>57581.56</v>
      </c>
      <c r="H192" s="41">
        <f>+H183+SUM(H188:H191)</f>
        <v>1026.45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35704755.139999993</v>
      </c>
      <c r="G193" s="47">
        <f>G112+G140+G169+G192</f>
        <v>727879.40999999992</v>
      </c>
      <c r="H193" s="47">
        <f>H112+H140+H169+H192</f>
        <v>1261744.05</v>
      </c>
      <c r="I193" s="47">
        <f>I112+I140+I169+I192</f>
        <v>0</v>
      </c>
      <c r="J193" s="47">
        <f>J112+J140+J192</f>
        <v>159898.08000000002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3500598.88-0.02</f>
        <v>3500598.86</v>
      </c>
      <c r="G197" s="18">
        <v>1807635.52</v>
      </c>
      <c r="H197" s="18">
        <v>26797.82</v>
      </c>
      <c r="I197" s="18">
        <v>124169.38</v>
      </c>
      <c r="J197" s="18">
        <v>21388.69</v>
      </c>
      <c r="K197" s="18">
        <v>252.5</v>
      </c>
      <c r="L197" s="19">
        <f>SUM(F197:K197)</f>
        <v>5480842.7700000005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1519047.66+72753.66</f>
        <v>1591801.3199999998</v>
      </c>
      <c r="G198" s="18">
        <v>748220.59</v>
      </c>
      <c r="H198" s="18">
        <f>90047.46+38333.86</f>
        <v>128381.32</v>
      </c>
      <c r="I198" s="18">
        <f>12225.11+104.33</f>
        <v>12329.44</v>
      </c>
      <c r="J198" s="18">
        <v>107.58</v>
      </c>
      <c r="K198" s="18"/>
      <c r="L198" s="19">
        <f>SUM(F198:K198)</f>
        <v>2480840.2499999995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15938.76+439.87</f>
        <v>16378.630000000001</v>
      </c>
      <c r="G200" s="18">
        <v>4314.25</v>
      </c>
      <c r="H200" s="18">
        <v>21724.92</v>
      </c>
      <c r="I200" s="18"/>
      <c r="J200" s="18"/>
      <c r="K200" s="18">
        <v>1435</v>
      </c>
      <c r="L200" s="19">
        <f>SUM(F200:K200)</f>
        <v>43852.800000000003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316045+570452.81</f>
        <v>886497.81</v>
      </c>
      <c r="G202" s="18">
        <v>437705.58</v>
      </c>
      <c r="H202" s="18">
        <f>858.6+28085.74</f>
        <v>28944.34</v>
      </c>
      <c r="I202" s="18">
        <f>1499.37+2435.55</f>
        <v>3934.92</v>
      </c>
      <c r="J202" s="18">
        <f>726.93+2499.57</f>
        <v>3226.5</v>
      </c>
      <c r="K202" s="18"/>
      <c r="L202" s="19">
        <f t="shared" ref="L202:L208" si="0">SUM(F202:K202)</f>
        <v>1360309.1500000001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111971.59</v>
      </c>
      <c r="G203" s="18">
        <v>55285.63</v>
      </c>
      <c r="H203" s="18">
        <f>6247.4+2574</f>
        <v>8821.4</v>
      </c>
      <c r="I203" s="18">
        <f>5717.34+949.81</f>
        <v>6667.15</v>
      </c>
      <c r="J203" s="18">
        <v>927.9</v>
      </c>
      <c r="K203" s="18"/>
      <c r="L203" s="19">
        <f t="shared" si="0"/>
        <v>183673.66999999998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86360.58+372249.5</f>
        <v>458610.08</v>
      </c>
      <c r="G204" s="18">
        <v>264163.77</v>
      </c>
      <c r="H204" s="18">
        <v>35330.519999999997</v>
      </c>
      <c r="I204" s="18">
        <v>5233.87</v>
      </c>
      <c r="J204" s="18">
        <v>1524.41</v>
      </c>
      <c r="K204" s="18">
        <v>4847.57</v>
      </c>
      <c r="L204" s="19">
        <f t="shared" si="0"/>
        <v>769710.22000000009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447842.94</v>
      </c>
      <c r="G205" s="18">
        <v>221121.08</v>
      </c>
      <c r="H205" s="18">
        <v>5181.99</v>
      </c>
      <c r="I205" s="18">
        <v>4135.8999999999996</v>
      </c>
      <c r="J205" s="18"/>
      <c r="K205" s="18">
        <v>2775.43</v>
      </c>
      <c r="L205" s="19">
        <f t="shared" si="0"/>
        <v>681057.34000000008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270384.62+117655.86</f>
        <v>388040.48</v>
      </c>
      <c r="G207" s="18">
        <v>191593.8</v>
      </c>
      <c r="H207" s="18">
        <f>203606.84+142831.66</f>
        <v>346438.5</v>
      </c>
      <c r="I207" s="18">
        <f>207363.15+28936.6</f>
        <v>236299.75</v>
      </c>
      <c r="J207" s="18">
        <v>14581.67</v>
      </c>
      <c r="K207" s="18"/>
      <c r="L207" s="19">
        <f t="shared" si="0"/>
        <v>1176954.2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116360.83+392925.08</f>
        <v>509285.91000000003</v>
      </c>
      <c r="I208" s="18"/>
      <c r="J208" s="18"/>
      <c r="K208" s="18"/>
      <c r="L208" s="19">
        <f t="shared" si="0"/>
        <v>509285.91000000003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239103.75</f>
        <v>239103.75</v>
      </c>
      <c r="G209" s="18">
        <v>42603.86</v>
      </c>
      <c r="H209" s="18">
        <v>76151.98</v>
      </c>
      <c r="I209" s="18">
        <v>3986.78</v>
      </c>
      <c r="J209" s="18">
        <v>39822.949999999997</v>
      </c>
      <c r="K209" s="18"/>
      <c r="L209" s="19">
        <f>SUM(F209:K209)</f>
        <v>401669.32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7640845.459999999</v>
      </c>
      <c r="G211" s="41">
        <f t="shared" si="1"/>
        <v>3772644.0799999996</v>
      </c>
      <c r="H211" s="41">
        <f t="shared" si="1"/>
        <v>1187058.7</v>
      </c>
      <c r="I211" s="41">
        <f t="shared" si="1"/>
        <v>396757.19000000006</v>
      </c>
      <c r="J211" s="41">
        <f t="shared" si="1"/>
        <v>81579.7</v>
      </c>
      <c r="K211" s="41">
        <f t="shared" si="1"/>
        <v>9310.5</v>
      </c>
      <c r="L211" s="41">
        <f t="shared" si="1"/>
        <v>13088195.629999999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2518663.62-0.01</f>
        <v>2518663.6100000003</v>
      </c>
      <c r="G215" s="18">
        <v>1362017.6</v>
      </c>
      <c r="H215" s="18">
        <v>2505.06</v>
      </c>
      <c r="I215" s="18">
        <v>66973.42</v>
      </c>
      <c r="J215" s="18">
        <v>10028.6</v>
      </c>
      <c r="K215" s="18">
        <v>891</v>
      </c>
      <c r="L215" s="19">
        <f>SUM(F215:K215)</f>
        <v>3961079.2900000005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879674.42+92757.38</f>
        <v>972431.8</v>
      </c>
      <c r="G216" s="18">
        <v>486081.11</v>
      </c>
      <c r="H216" s="18">
        <f>214358.48+24844.44</f>
        <v>239202.92</v>
      </c>
      <c r="I216" s="18">
        <f>7031.4+834.66</f>
        <v>7866.0599999999995</v>
      </c>
      <c r="J216" s="18">
        <f>85.2+860.68</f>
        <v>945.88</v>
      </c>
      <c r="K216" s="18"/>
      <c r="L216" s="19">
        <f>SUM(F216:K216)</f>
        <v>1706527.77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40086+310.16</f>
        <v>40396.160000000003</v>
      </c>
      <c r="G218" s="18">
        <v>4870.1899999999996</v>
      </c>
      <c r="H218" s="18">
        <v>8748.64</v>
      </c>
      <c r="I218" s="18">
        <v>3928.47</v>
      </c>
      <c r="J218" s="18">
        <v>4533.0200000000004</v>
      </c>
      <c r="K218" s="18">
        <v>2729.8</v>
      </c>
      <c r="L218" s="19">
        <f>SUM(F218:K218)</f>
        <v>65206.280000000013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228131.19+142091.06</f>
        <v>370222.25</v>
      </c>
      <c r="G220" s="18">
        <v>190095.34</v>
      </c>
      <c r="H220" s="18">
        <f>10739.25+26029.97</f>
        <v>36769.22</v>
      </c>
      <c r="I220" s="18">
        <f>1496.24+1818.52</f>
        <v>3314.76</v>
      </c>
      <c r="J220" s="18">
        <f>505.26+724.51</f>
        <v>1229.77</v>
      </c>
      <c r="K220" s="18"/>
      <c r="L220" s="19">
        <f t="shared" ref="L220:L226" si="2">SUM(F220:K220)</f>
        <v>601631.34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107253.59</v>
      </c>
      <c r="G221" s="18">
        <v>41844.28</v>
      </c>
      <c r="H221" s="18">
        <f>4523.65+1815</f>
        <v>6338.65</v>
      </c>
      <c r="I221" s="18">
        <f>6065.34+669.74</f>
        <v>6735.08</v>
      </c>
      <c r="J221" s="18"/>
      <c r="K221" s="18"/>
      <c r="L221" s="19">
        <f t="shared" si="2"/>
        <v>162171.59999999998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99932.38+254572.75</f>
        <v>354505.13</v>
      </c>
      <c r="G222" s="18">
        <v>182025.2</v>
      </c>
      <c r="H222" s="18">
        <v>24795.91</v>
      </c>
      <c r="I222" s="18">
        <v>3626.66</v>
      </c>
      <c r="J222" s="18">
        <v>987.98</v>
      </c>
      <c r="K222" s="18">
        <v>3378.91</v>
      </c>
      <c r="L222" s="19">
        <f t="shared" si="2"/>
        <v>569319.79000000015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314045.89</v>
      </c>
      <c r="G223" s="18">
        <v>208866.09</v>
      </c>
      <c r="H223" s="18">
        <v>2027.08</v>
      </c>
      <c r="I223" s="18">
        <v>1005.74</v>
      </c>
      <c r="J223" s="18">
        <v>79.989999999999995</v>
      </c>
      <c r="K223" s="18">
        <v>2698.56</v>
      </c>
      <c r="L223" s="19">
        <f t="shared" si="2"/>
        <v>528723.35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171895.01+68562.05</f>
        <v>240457.06</v>
      </c>
      <c r="G225" s="18">
        <v>123465.76</v>
      </c>
      <c r="H225" s="18">
        <f>68331.49+88216.57</f>
        <v>156548.06</v>
      </c>
      <c r="I225" s="18">
        <f>135906.8+16862.33</f>
        <v>152769.13</v>
      </c>
      <c r="J225" s="18">
        <v>2454</v>
      </c>
      <c r="K225" s="18"/>
      <c r="L225" s="19">
        <f t="shared" si="2"/>
        <v>675694.01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155305.27+231545.13</f>
        <v>386850.4</v>
      </c>
      <c r="I226" s="18"/>
      <c r="J226" s="18"/>
      <c r="K226" s="18"/>
      <c r="L226" s="19">
        <f t="shared" si="2"/>
        <v>386850.4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f>233886.35</f>
        <v>233886.35</v>
      </c>
      <c r="G227" s="18">
        <v>46023.839999999997</v>
      </c>
      <c r="H227" s="18">
        <v>53696.91</v>
      </c>
      <c r="I227" s="18">
        <v>2811.19</v>
      </c>
      <c r="J227" s="18">
        <v>28080.29</v>
      </c>
      <c r="K227" s="18"/>
      <c r="L227" s="19">
        <f>SUM(F227:K227)</f>
        <v>364498.57999999996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5151861.8399999989</v>
      </c>
      <c r="G229" s="41">
        <f>SUM(G215:G228)</f>
        <v>2645289.4099999997</v>
      </c>
      <c r="H229" s="41">
        <f>SUM(H215:H228)</f>
        <v>917482.85</v>
      </c>
      <c r="I229" s="41">
        <f>SUM(I215:I228)</f>
        <v>249030.51</v>
      </c>
      <c r="J229" s="41">
        <f>SUM(J215:J228)</f>
        <v>48339.53</v>
      </c>
      <c r="K229" s="41">
        <f t="shared" si="3"/>
        <v>9698.27</v>
      </c>
      <c r="L229" s="41">
        <f t="shared" si="3"/>
        <v>9021702.4100000001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3395758.99-0.01</f>
        <v>3395758.9800000004</v>
      </c>
      <c r="G233" s="18">
        <v>1887242.76</v>
      </c>
      <c r="H233" s="18">
        <v>8837.57</v>
      </c>
      <c r="I233" s="18">
        <v>74261.41</v>
      </c>
      <c r="J233" s="18">
        <v>19443.900000000001</v>
      </c>
      <c r="K233" s="18">
        <v>3420</v>
      </c>
      <c r="L233" s="19">
        <f>SUM(F233:K233)</f>
        <v>5388964.620000001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677607.25+221233.94</f>
        <v>898841.19</v>
      </c>
      <c r="G234" s="18">
        <v>474307.72</v>
      </c>
      <c r="H234" s="18">
        <f>109720.53+22197.78</f>
        <v>131918.31</v>
      </c>
      <c r="I234" s="18">
        <f>4275.19+2538.74</f>
        <v>6813.9299999999994</v>
      </c>
      <c r="J234" s="18">
        <v>2617.89</v>
      </c>
      <c r="K234" s="18"/>
      <c r="L234" s="19">
        <f>SUM(F234:K234)</f>
        <v>1514499.0399999998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681037.8</v>
      </c>
      <c r="G235" s="18">
        <v>359375.49</v>
      </c>
      <c r="H235" s="18">
        <v>24088.29</v>
      </c>
      <c r="I235" s="18">
        <v>38508.39</v>
      </c>
      <c r="J235" s="18">
        <v>21550.89</v>
      </c>
      <c r="K235" s="18">
        <v>1000</v>
      </c>
      <c r="L235" s="19">
        <f>SUM(F235:K235)</f>
        <v>1125560.8599999999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146302.03+377.84</f>
        <v>146679.87</v>
      </c>
      <c r="G236" s="18">
        <v>12569.03</v>
      </c>
      <c r="H236" s="18">
        <v>47016.04</v>
      </c>
      <c r="I236" s="18">
        <v>18184.03</v>
      </c>
      <c r="J236" s="18">
        <v>453.99</v>
      </c>
      <c r="K236" s="18">
        <v>8741</v>
      </c>
      <c r="L236" s="19">
        <f>SUM(F236:K236)</f>
        <v>233643.96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536839.97+63369.21</f>
        <v>600209.17999999993</v>
      </c>
      <c r="G238" s="18">
        <v>316723.19</v>
      </c>
      <c r="H238" s="18">
        <f>13622.36+19551.66</f>
        <v>33174.020000000004</v>
      </c>
      <c r="I238" s="18">
        <f>9618.87+2602.15</f>
        <v>12221.02</v>
      </c>
      <c r="J238" s="18">
        <v>398.48</v>
      </c>
      <c r="K238" s="18">
        <v>460</v>
      </c>
      <c r="L238" s="19">
        <f t="shared" ref="L238:L244" si="4">SUM(F238:K238)</f>
        <v>963185.8899999999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114668.36</v>
      </c>
      <c r="G239" s="18">
        <v>49068.15</v>
      </c>
      <c r="H239" s="18">
        <f>4665.72+2211</f>
        <v>6876.72</v>
      </c>
      <c r="I239" s="18">
        <f>21942.59+815.87</f>
        <v>22758.46</v>
      </c>
      <c r="J239" s="18">
        <v>5177.66</v>
      </c>
      <c r="K239" s="18"/>
      <c r="L239" s="19">
        <f t="shared" si="4"/>
        <v>198549.35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96899.96+381199.31</f>
        <v>478099.27</v>
      </c>
      <c r="G240" s="18">
        <v>282796.52</v>
      </c>
      <c r="H240" s="18">
        <v>29963.61</v>
      </c>
      <c r="I240" s="18">
        <v>4182.1499999999996</v>
      </c>
      <c r="J240" s="18">
        <v>882.73</v>
      </c>
      <c r="K240" s="18">
        <v>3971.27</v>
      </c>
      <c r="L240" s="19">
        <f t="shared" si="4"/>
        <v>799895.55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425021.09</v>
      </c>
      <c r="G241" s="18">
        <v>231905.85</v>
      </c>
      <c r="H241" s="18">
        <v>20250.810000000001</v>
      </c>
      <c r="I241" s="18">
        <v>12047.52</v>
      </c>
      <c r="J241" s="18"/>
      <c r="K241" s="18">
        <v>23275.77</v>
      </c>
      <c r="L241" s="19">
        <f t="shared" si="4"/>
        <v>712501.04000000015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222962.75+95930.44</f>
        <v>318893.19</v>
      </c>
      <c r="G243" s="18">
        <v>168276.11</v>
      </c>
      <c r="H243" s="18">
        <f>109197.58+118233.89</f>
        <v>227431.47</v>
      </c>
      <c r="I243" s="18">
        <f>212587.55+23593.39</f>
        <v>236180.94</v>
      </c>
      <c r="J243" s="18">
        <v>10657.4</v>
      </c>
      <c r="K243" s="18"/>
      <c r="L243" s="19">
        <f t="shared" si="4"/>
        <v>961439.11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133294.54+77181.71</f>
        <v>210476.25</v>
      </c>
      <c r="I244" s="18"/>
      <c r="J244" s="18"/>
      <c r="K244" s="18"/>
      <c r="L244" s="19">
        <f t="shared" si="4"/>
        <v>210476.25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f>167897.73</f>
        <v>167897.73</v>
      </c>
      <c r="G245" s="18">
        <v>31392.76</v>
      </c>
      <c r="H245" s="18">
        <v>65412.6</v>
      </c>
      <c r="I245" s="18">
        <v>3424.54</v>
      </c>
      <c r="J245" s="18">
        <v>34206.89</v>
      </c>
      <c r="K245" s="18"/>
      <c r="L245" s="19">
        <f>SUM(F245:K245)</f>
        <v>302334.52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7227106.6600000011</v>
      </c>
      <c r="G247" s="41">
        <f t="shared" si="5"/>
        <v>3813657.5799999991</v>
      </c>
      <c r="H247" s="41">
        <f t="shared" si="5"/>
        <v>805445.69000000006</v>
      </c>
      <c r="I247" s="41">
        <f t="shared" si="5"/>
        <v>428582.38999999996</v>
      </c>
      <c r="J247" s="41">
        <f t="shared" si="5"/>
        <v>95389.83</v>
      </c>
      <c r="K247" s="41">
        <f t="shared" si="5"/>
        <v>40868.04</v>
      </c>
      <c r="L247" s="41">
        <f t="shared" si="5"/>
        <v>12411050.190000001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20019813.959999997</v>
      </c>
      <c r="G257" s="41">
        <f t="shared" si="8"/>
        <v>10231591.069999998</v>
      </c>
      <c r="H257" s="41">
        <f t="shared" si="8"/>
        <v>2909987.2399999998</v>
      </c>
      <c r="I257" s="41">
        <f t="shared" si="8"/>
        <v>1074370.0900000001</v>
      </c>
      <c r="J257" s="41">
        <f t="shared" si="8"/>
        <v>225309.06</v>
      </c>
      <c r="K257" s="41">
        <f t="shared" si="8"/>
        <v>59876.81</v>
      </c>
      <c r="L257" s="41">
        <f t="shared" si="8"/>
        <v>34520948.230000004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980597.86</v>
      </c>
      <c r="L260" s="19">
        <f>SUM(F260:K260)</f>
        <v>980597.86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347784.64</v>
      </c>
      <c r="L261" s="19">
        <f>SUM(F261:K261)</f>
        <v>347784.64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57581.56</v>
      </c>
      <c r="L263" s="19">
        <f>SUM(F263:K263)</f>
        <v>57581.56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1385964.06</v>
      </c>
      <c r="L270" s="41">
        <f t="shared" si="9"/>
        <v>1385964.06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20019813.959999997</v>
      </c>
      <c r="G271" s="42">
        <f t="shared" si="11"/>
        <v>10231591.069999998</v>
      </c>
      <c r="H271" s="42">
        <f t="shared" si="11"/>
        <v>2909987.2399999998</v>
      </c>
      <c r="I271" s="42">
        <f t="shared" si="11"/>
        <v>1074370.0900000001</v>
      </c>
      <c r="J271" s="42">
        <f t="shared" si="11"/>
        <v>225309.06</v>
      </c>
      <c r="K271" s="42">
        <f t="shared" si="11"/>
        <v>1445840.87</v>
      </c>
      <c r="L271" s="42">
        <f t="shared" si="11"/>
        <v>35906912.290000007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230692.93+27051.57+0.01</f>
        <v>257744.51</v>
      </c>
      <c r="G276" s="18">
        <v>38612.44</v>
      </c>
      <c r="H276" s="18"/>
      <c r="I276" s="18">
        <v>6319.52</v>
      </c>
      <c r="J276" s="18"/>
      <c r="K276" s="18"/>
      <c r="L276" s="19">
        <f>SUM(F276:K276)</f>
        <v>302676.47000000003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59241.45</v>
      </c>
      <c r="G277" s="18">
        <v>29437.5</v>
      </c>
      <c r="H277" s="18"/>
      <c r="I277" s="18">
        <v>979.53</v>
      </c>
      <c r="J277" s="18">
        <v>924.08</v>
      </c>
      <c r="K277" s="18"/>
      <c r="L277" s="19">
        <f>SUM(F277:K277)</f>
        <v>90582.56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19212+3090.96</f>
        <v>22302.959999999999</v>
      </c>
      <c r="G279" s="18">
        <v>542.29</v>
      </c>
      <c r="H279" s="18"/>
      <c r="I279" s="18">
        <v>4726.5600000000004</v>
      </c>
      <c r="J279" s="18"/>
      <c r="K279" s="18"/>
      <c r="L279" s="19">
        <f>SUM(F279:K279)</f>
        <v>27571.81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90840.66</v>
      </c>
      <c r="G281" s="18">
        <v>40563.33</v>
      </c>
      <c r="H281" s="18">
        <f>6747.7+4758.31</f>
        <v>11506.01</v>
      </c>
      <c r="I281" s="18">
        <f>5954.88+144.66</f>
        <v>6099.54</v>
      </c>
      <c r="J281" s="18"/>
      <c r="K281" s="18"/>
      <c r="L281" s="19">
        <f t="shared" ref="L281:L287" si="12">SUM(F281:K281)</f>
        <v>149009.54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11340.34+312.01</f>
        <v>11652.35</v>
      </c>
      <c r="G282" s="18">
        <v>578.30999999999995</v>
      </c>
      <c r="H282" s="18">
        <f>1539.28+8106.72</f>
        <v>9646</v>
      </c>
      <c r="I282" s="18">
        <v>786.35</v>
      </c>
      <c r="J282" s="18"/>
      <c r="K282" s="18"/>
      <c r="L282" s="19">
        <f t="shared" si="12"/>
        <v>22663.01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70559.990000000005</v>
      </c>
      <c r="G283" s="18">
        <v>15082.15</v>
      </c>
      <c r="H283" s="18">
        <v>787.42</v>
      </c>
      <c r="I283" s="18"/>
      <c r="J283" s="18"/>
      <c r="K283" s="18"/>
      <c r="L283" s="19">
        <f t="shared" si="12"/>
        <v>86429.56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230</v>
      </c>
      <c r="I287" s="18"/>
      <c r="J287" s="18"/>
      <c r="K287" s="18"/>
      <c r="L287" s="19">
        <f t="shared" si="12"/>
        <v>230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512341.92000000004</v>
      </c>
      <c r="G290" s="42">
        <f t="shared" si="13"/>
        <v>124816.01999999999</v>
      </c>
      <c r="H290" s="42">
        <f t="shared" si="13"/>
        <v>22169.43</v>
      </c>
      <c r="I290" s="42">
        <f t="shared" si="13"/>
        <v>18911.5</v>
      </c>
      <c r="J290" s="42">
        <f t="shared" si="13"/>
        <v>924.08</v>
      </c>
      <c r="K290" s="42">
        <f t="shared" si="13"/>
        <v>0</v>
      </c>
      <c r="L290" s="41">
        <f t="shared" si="13"/>
        <v>679162.95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8340.66</v>
      </c>
      <c r="G295" s="18">
        <v>638.05999999999995</v>
      </c>
      <c r="H295" s="18">
        <v>2140.3200000000002</v>
      </c>
      <c r="I295" s="18">
        <v>2859.68</v>
      </c>
      <c r="J295" s="18"/>
      <c r="K295" s="18"/>
      <c r="L295" s="19">
        <f>SUM(F295:K295)</f>
        <v>13978.72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34225.129999999997</v>
      </c>
      <c r="G296" s="18">
        <v>20066.259999999998</v>
      </c>
      <c r="H296" s="18"/>
      <c r="I296" s="18">
        <v>219.1</v>
      </c>
      <c r="J296" s="18">
        <v>195.43</v>
      </c>
      <c r="K296" s="18"/>
      <c r="L296" s="19">
        <f>SUM(F296:K296)</f>
        <v>54705.919999999998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691.4</v>
      </c>
      <c r="G298" s="18">
        <v>52.89</v>
      </c>
      <c r="H298" s="18"/>
      <c r="I298" s="18">
        <v>28.5</v>
      </c>
      <c r="J298" s="18">
        <v>3469.92</v>
      </c>
      <c r="K298" s="18"/>
      <c r="L298" s="19">
        <f>SUM(F298:K298)</f>
        <v>4242.71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61855.02</v>
      </c>
      <c r="G300" s="18">
        <v>28602.35</v>
      </c>
      <c r="H300" s="18">
        <v>3355.22</v>
      </c>
      <c r="I300" s="18">
        <v>102.01</v>
      </c>
      <c r="J300" s="18"/>
      <c r="K300" s="18"/>
      <c r="L300" s="19">
        <f t="shared" ref="L300:L306" si="14">SUM(F300:K300)</f>
        <v>93914.599999999991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8427+220.01</f>
        <v>8647.01</v>
      </c>
      <c r="G301" s="18">
        <v>407.78</v>
      </c>
      <c r="H301" s="18">
        <v>5716.28</v>
      </c>
      <c r="I301" s="18">
        <v>554.48</v>
      </c>
      <c r="J301" s="18"/>
      <c r="K301" s="18"/>
      <c r="L301" s="19">
        <f t="shared" si="14"/>
        <v>15325.55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113759.21999999999</v>
      </c>
      <c r="G309" s="42">
        <f t="shared" si="15"/>
        <v>49767.34</v>
      </c>
      <c r="H309" s="42">
        <f t="shared" si="15"/>
        <v>11211.82</v>
      </c>
      <c r="I309" s="42">
        <f t="shared" si="15"/>
        <v>3763.77</v>
      </c>
      <c r="J309" s="42">
        <f t="shared" si="15"/>
        <v>3665.35</v>
      </c>
      <c r="K309" s="42">
        <f t="shared" si="15"/>
        <v>0</v>
      </c>
      <c r="L309" s="41">
        <f t="shared" si="15"/>
        <v>182167.5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45497.84+10160.44</f>
        <v>55658.28</v>
      </c>
      <c r="G314" s="18">
        <v>7713.99</v>
      </c>
      <c r="H314" s="18"/>
      <c r="I314" s="18"/>
      <c r="J314" s="18"/>
      <c r="K314" s="18"/>
      <c r="L314" s="19">
        <f>SUM(F314:K314)</f>
        <v>63372.27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41692.43</v>
      </c>
      <c r="G315" s="18">
        <v>25264.28</v>
      </c>
      <c r="H315" s="18"/>
      <c r="I315" s="18">
        <v>90.22</v>
      </c>
      <c r="J315" s="18">
        <v>67.16</v>
      </c>
      <c r="K315" s="18"/>
      <c r="L315" s="19">
        <f>SUM(F315:K315)</f>
        <v>67114.09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34771.89</v>
      </c>
      <c r="G316" s="18">
        <v>16973.82</v>
      </c>
      <c r="H316" s="18">
        <v>12129.75</v>
      </c>
      <c r="I316" s="18">
        <v>6922.84</v>
      </c>
      <c r="J316" s="18">
        <v>43330.81</v>
      </c>
      <c r="K316" s="18">
        <v>3548.66</v>
      </c>
      <c r="L316" s="19">
        <f>SUM(F316:K316)</f>
        <v>117677.77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284.69</v>
      </c>
      <c r="G317" s="18">
        <v>21.78</v>
      </c>
      <c r="H317" s="18"/>
      <c r="I317" s="18"/>
      <c r="J317" s="18">
        <v>3821</v>
      </c>
      <c r="K317" s="18"/>
      <c r="L317" s="19">
        <f>SUM(F317:K317)</f>
        <v>4127.47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75350.66</v>
      </c>
      <c r="G319" s="18">
        <v>34842.86</v>
      </c>
      <c r="H319" s="18">
        <f>5000+4087.27</f>
        <v>9087.27</v>
      </c>
      <c r="I319" s="18">
        <v>124.26</v>
      </c>
      <c r="J319" s="18"/>
      <c r="K319" s="18"/>
      <c r="L319" s="19">
        <f t="shared" ref="L319:L325" si="16">SUM(F319:K319)</f>
        <v>119405.05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7728+268.01</f>
        <v>7996.01</v>
      </c>
      <c r="G320" s="18">
        <v>496.75</v>
      </c>
      <c r="H320" s="18">
        <f>295+6963.47</f>
        <v>7258.47</v>
      </c>
      <c r="I320" s="18">
        <v>675.46</v>
      </c>
      <c r="J320" s="18"/>
      <c r="K320" s="18"/>
      <c r="L320" s="19">
        <f t="shared" si="16"/>
        <v>16426.689999999999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2636.52</v>
      </c>
      <c r="I325" s="18">
        <v>2397.54</v>
      </c>
      <c r="J325" s="18"/>
      <c r="K325" s="18"/>
      <c r="L325" s="19">
        <f t="shared" si="16"/>
        <v>5034.0599999999995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215753.96</v>
      </c>
      <c r="G328" s="42">
        <f t="shared" si="17"/>
        <v>85313.48</v>
      </c>
      <c r="H328" s="42">
        <f t="shared" si="17"/>
        <v>31112.010000000002</v>
      </c>
      <c r="I328" s="42">
        <f t="shared" si="17"/>
        <v>10210.32</v>
      </c>
      <c r="J328" s="42">
        <f t="shared" si="17"/>
        <v>47218.97</v>
      </c>
      <c r="K328" s="42">
        <f t="shared" si="17"/>
        <v>3548.66</v>
      </c>
      <c r="L328" s="41">
        <f t="shared" si="17"/>
        <v>393157.4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841855.1</v>
      </c>
      <c r="G338" s="41">
        <f t="shared" si="20"/>
        <v>259896.83999999997</v>
      </c>
      <c r="H338" s="41">
        <f t="shared" si="20"/>
        <v>64493.26</v>
      </c>
      <c r="I338" s="41">
        <f t="shared" si="20"/>
        <v>32885.589999999997</v>
      </c>
      <c r="J338" s="41">
        <f t="shared" si="20"/>
        <v>51808.4</v>
      </c>
      <c r="K338" s="41">
        <f t="shared" si="20"/>
        <v>3548.66</v>
      </c>
      <c r="L338" s="41">
        <f t="shared" si="20"/>
        <v>1254487.8500000001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841855.1</v>
      </c>
      <c r="G352" s="41">
        <f>G338</f>
        <v>259896.83999999997</v>
      </c>
      <c r="H352" s="41">
        <f>H338</f>
        <v>64493.26</v>
      </c>
      <c r="I352" s="41">
        <f>I338</f>
        <v>32885.589999999997</v>
      </c>
      <c r="J352" s="41">
        <f>J338</f>
        <v>51808.4</v>
      </c>
      <c r="K352" s="47">
        <f>K338+K351</f>
        <v>3548.66</v>
      </c>
      <c r="L352" s="41">
        <f>L338+L351</f>
        <v>1254487.8500000001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116120.06+11.38</f>
        <v>116131.44</v>
      </c>
      <c r="G358" s="18">
        <f>26397.6+495.36+8644.25+3564.18+380.44+2212.71</f>
        <v>41694.54</v>
      </c>
      <c r="H358" s="18">
        <f>1440.6+1007.35</f>
        <v>2447.9499999999998</v>
      </c>
      <c r="I358" s="18">
        <f>233+8024.91+75875.63+7726.11</f>
        <v>91859.650000000009</v>
      </c>
      <c r="J358" s="18">
        <v>2698.62</v>
      </c>
      <c r="K358" s="18">
        <f>941.75+29.87</f>
        <v>971.62</v>
      </c>
      <c r="L358" s="13">
        <f>SUM(F358:K358)</f>
        <v>255803.82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92351.99</v>
      </c>
      <c r="G359" s="18">
        <f>19553.4+495.36+6826+3613.19+326.1+1896.59</f>
        <v>32710.639999999999</v>
      </c>
      <c r="H359" s="18">
        <f>785.69+43.87</f>
        <v>829.56000000000006</v>
      </c>
      <c r="I359" s="18">
        <f>5224.35+65838.99</f>
        <v>71063.340000000011</v>
      </c>
      <c r="J359" s="18"/>
      <c r="K359" s="18">
        <v>520.85</v>
      </c>
      <c r="L359" s="19">
        <f>SUM(F359:K359)</f>
        <v>197476.38000000003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102959.08</v>
      </c>
      <c r="G360" s="18">
        <f>17462.4+495.36+7637.44+3564.17+380.44+2212.71</f>
        <v>31752.52</v>
      </c>
      <c r="H360" s="18">
        <f>125+42.12</f>
        <v>167.12</v>
      </c>
      <c r="I360" s="18">
        <f>16899.84+116769.25</f>
        <v>133669.09</v>
      </c>
      <c r="J360" s="18">
        <f>1080.02+4602</f>
        <v>5682.02</v>
      </c>
      <c r="K360" s="18">
        <v>369.38</v>
      </c>
      <c r="L360" s="19">
        <f>SUM(F360:K360)</f>
        <v>274599.21000000002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311442.51</v>
      </c>
      <c r="G362" s="47">
        <f t="shared" si="22"/>
        <v>106157.7</v>
      </c>
      <c r="H362" s="47">
        <f t="shared" si="22"/>
        <v>3444.6299999999997</v>
      </c>
      <c r="I362" s="47">
        <f t="shared" si="22"/>
        <v>296592.08</v>
      </c>
      <c r="J362" s="47">
        <f t="shared" si="22"/>
        <v>8380.64</v>
      </c>
      <c r="K362" s="47">
        <f t="shared" si="22"/>
        <v>1861.85</v>
      </c>
      <c r="L362" s="47">
        <f t="shared" si="22"/>
        <v>727879.41000000015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7726.11+75875.63</f>
        <v>83601.740000000005</v>
      </c>
      <c r="G367" s="18">
        <v>65838.990000000005</v>
      </c>
      <c r="H367" s="18">
        <v>116769.25</v>
      </c>
      <c r="I367" s="56">
        <f>SUM(F367:H367)</f>
        <v>266209.98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233+8024.91</f>
        <v>8257.91</v>
      </c>
      <c r="G368" s="63">
        <v>5224.3500000000004</v>
      </c>
      <c r="H368" s="63">
        <v>16899.84</v>
      </c>
      <c r="I368" s="56">
        <f>SUM(F368:H368)</f>
        <v>30382.1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91859.650000000009</v>
      </c>
      <c r="G369" s="47">
        <f>SUM(G367:G368)</f>
        <v>71063.340000000011</v>
      </c>
      <c r="H369" s="47">
        <f>SUM(H367:H368)</f>
        <v>133669.09</v>
      </c>
      <c r="I369" s="47">
        <f>SUM(I367:I368)</f>
        <v>296592.07999999996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f>4948.84+2090.07</f>
        <v>7038.91</v>
      </c>
      <c r="I400" s="18">
        <v>16090.5</v>
      </c>
      <c r="J400" s="24" t="s">
        <v>289</v>
      </c>
      <c r="K400" s="24" t="s">
        <v>289</v>
      </c>
      <c r="L400" s="56">
        <f t="shared" si="26"/>
        <v>23129.41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7038.91</v>
      </c>
      <c r="I401" s="47">
        <f>SUM(I395:I400)</f>
        <v>16090.5</v>
      </c>
      <c r="J401" s="45" t="s">
        <v>289</v>
      </c>
      <c r="K401" s="45" t="s">
        <v>289</v>
      </c>
      <c r="L401" s="47">
        <f>SUM(L395:L400)</f>
        <v>23129.41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 t="s">
        <v>913</v>
      </c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>
        <f>77008.54+59685.13</f>
        <v>136693.66999999998</v>
      </c>
      <c r="I403" s="18">
        <v>75</v>
      </c>
      <c r="J403" s="24" t="s">
        <v>289</v>
      </c>
      <c r="K403" s="24" t="s">
        <v>289</v>
      </c>
      <c r="L403" s="56">
        <f>SUM(F403:K403)</f>
        <v>136768.66999999998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136693.66999999998</v>
      </c>
      <c r="I407" s="47">
        <f>SUM(I403:I406)</f>
        <v>75</v>
      </c>
      <c r="J407" s="49" t="s">
        <v>289</v>
      </c>
      <c r="K407" s="49" t="s">
        <v>289</v>
      </c>
      <c r="L407" s="47">
        <f>SUM(L403:L406)</f>
        <v>136768.66999999998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143732.57999999999</v>
      </c>
      <c r="I408" s="47">
        <f>I393+I401+I407</f>
        <v>16165.5</v>
      </c>
      <c r="J408" s="24" t="s">
        <v>289</v>
      </c>
      <c r="K408" s="24" t="s">
        <v>289</v>
      </c>
      <c r="L408" s="47">
        <f>L393+L401+L407</f>
        <v>159898.07999999999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>
        <f>600+500+500+1500</f>
        <v>3100</v>
      </c>
      <c r="I418" s="18">
        <f>8380</f>
        <v>8380</v>
      </c>
      <c r="J418" s="18"/>
      <c r="K418" s="18"/>
      <c r="L418" s="56">
        <f t="shared" si="27"/>
        <v>11480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3100</v>
      </c>
      <c r="I419" s="139">
        <f t="shared" si="28"/>
        <v>8380</v>
      </c>
      <c r="J419" s="139">
        <f t="shared" si="28"/>
        <v>0</v>
      </c>
      <c r="K419" s="139">
        <f t="shared" si="28"/>
        <v>0</v>
      </c>
      <c r="L419" s="47">
        <f t="shared" si="28"/>
        <v>11480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913</v>
      </c>
      <c r="B429" s="6">
        <v>17</v>
      </c>
      <c r="C429" s="6">
        <v>15</v>
      </c>
      <c r="D429" s="2" t="s">
        <v>433</v>
      </c>
      <c r="E429" s="6"/>
      <c r="F429" s="18"/>
      <c r="G429" s="18"/>
      <c r="H429" s="18">
        <f>500+500+225+230+1300+500+75+500</f>
        <v>3830</v>
      </c>
      <c r="I429" s="18">
        <f>9342.53+19147.9+0.02</f>
        <v>28490.45</v>
      </c>
      <c r="J429" s="18"/>
      <c r="K429" s="18">
        <f>5000+30000</f>
        <v>35000</v>
      </c>
      <c r="L429" s="56">
        <f>SUM(F429:K429)</f>
        <v>67320.45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3830</v>
      </c>
      <c r="I433" s="47">
        <f t="shared" si="31"/>
        <v>28490.45</v>
      </c>
      <c r="J433" s="47">
        <f t="shared" si="31"/>
        <v>0</v>
      </c>
      <c r="K433" s="47">
        <f t="shared" si="31"/>
        <v>35000</v>
      </c>
      <c r="L433" s="47">
        <f t="shared" si="31"/>
        <v>67320.45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6930</v>
      </c>
      <c r="I434" s="47">
        <f t="shared" si="32"/>
        <v>36870.449999999997</v>
      </c>
      <c r="J434" s="47">
        <f t="shared" si="32"/>
        <v>0</v>
      </c>
      <c r="K434" s="47">
        <f t="shared" si="32"/>
        <v>35000</v>
      </c>
      <c r="L434" s="47">
        <f t="shared" si="32"/>
        <v>78800.45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f>13913.63+84713+1829.87+2364.37+406.47+1872.47+7195.72+104727.51+588.38</f>
        <v>217611.41999999998</v>
      </c>
      <c r="H442" s="18">
        <f>156946.87+40653.45+30076.34+409270.52+36940.52+407324.41+16736.24+28568.75+2121991.14+413008.04</f>
        <v>3661516.2800000003</v>
      </c>
      <c r="I442" s="56">
        <f t="shared" si="33"/>
        <v>3879127.7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217611.41999999998</v>
      </c>
      <c r="H446" s="13">
        <f>SUM(H439:H445)</f>
        <v>3661516.2800000003</v>
      </c>
      <c r="I446" s="13">
        <f>SUM(I439:I445)</f>
        <v>3879127.7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>
        <v>32687.919999999998</v>
      </c>
      <c r="H456" s="18">
        <v>2704215.97</v>
      </c>
      <c r="I456" s="56">
        <f t="shared" si="34"/>
        <v>2736903.89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>
        <f>11637.21+71964.07+1241.91+1604.68+325.74+1509.05+6012.99+87681.69+500</f>
        <v>182477.34000000003</v>
      </c>
      <c r="H457" s="18">
        <f>126771.6+33750.74+21810.65+287048.35+25225.65+299650.81+14195.67+23809.89</f>
        <v>832263.3600000001</v>
      </c>
      <c r="I457" s="56">
        <f t="shared" si="34"/>
        <v>1014740.7000000002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>
        <f>186.42+24.01+313.09+404.53+19.67+82.15+101.84+1314.45</f>
        <v>2446.16</v>
      </c>
      <c r="H458" s="18">
        <f>6599.91+796.06+3747.85+60744.68+6165.95+46488.44+26.58+467.48</f>
        <v>125036.95</v>
      </c>
      <c r="I458" s="56">
        <f t="shared" si="34"/>
        <v>127483.11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217611.42</v>
      </c>
      <c r="H460" s="83">
        <f>SUM(H454:H459)</f>
        <v>3661516.2800000003</v>
      </c>
      <c r="I460" s="83">
        <f>SUM(I454:I459)</f>
        <v>3879127.7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217611.42</v>
      </c>
      <c r="H461" s="42">
        <f>H452+H460</f>
        <v>3661516.2800000003</v>
      </c>
      <c r="I461" s="42">
        <f>I452+I460</f>
        <v>3879127.7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1114733.8400000001</v>
      </c>
      <c r="G465" s="18">
        <v>70958.179999999993</v>
      </c>
      <c r="H465" s="18">
        <v>49754.55</v>
      </c>
      <c r="I465" s="18">
        <v>93320.59</v>
      </c>
      <c r="J465" s="18">
        <v>3212707.24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35704755.140000001</v>
      </c>
      <c r="G468" s="18">
        <v>727879.41</v>
      </c>
      <c r="H468" s="18">
        <f>1210954.05+50790</f>
        <v>1261744.05</v>
      </c>
      <c r="I468" s="18"/>
      <c r="J468" s="18">
        <v>159898.07999999999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>
        <v>4154.1400000000003</v>
      </c>
      <c r="I469" s="18"/>
      <c r="J469" s="18">
        <v>628330.66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35704755.140000001</v>
      </c>
      <c r="G470" s="53">
        <f>SUM(G468:G469)</f>
        <v>727879.41</v>
      </c>
      <c r="H470" s="53">
        <f>SUM(H468:H469)</f>
        <v>1265898.19</v>
      </c>
      <c r="I470" s="53">
        <f>SUM(I468:I469)</f>
        <v>0</v>
      </c>
      <c r="J470" s="53">
        <f>SUM(J468:J469)</f>
        <v>788228.74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35906912.289999999</v>
      </c>
      <c r="G472" s="18">
        <v>727879.41</v>
      </c>
      <c r="H472" s="18">
        <f>1195946.96+58540.89</f>
        <v>1254487.8499999999</v>
      </c>
      <c r="I472" s="18"/>
      <c r="J472" s="18">
        <f>78800.43+0.02</f>
        <v>78800.45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4154.1400000000003</v>
      </c>
      <c r="G473" s="18"/>
      <c r="H473" s="18"/>
      <c r="I473" s="18">
        <v>6503.6</v>
      </c>
      <c r="J473" s="18">
        <v>43007.83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35911066.43</v>
      </c>
      <c r="G474" s="53">
        <f>SUM(G472:G473)</f>
        <v>727879.41</v>
      </c>
      <c r="H474" s="53">
        <f>SUM(H472:H473)</f>
        <v>1254487.8499999999</v>
      </c>
      <c r="I474" s="53">
        <f>SUM(I472:I473)</f>
        <v>6503.6</v>
      </c>
      <c r="J474" s="53">
        <f>SUM(J472:J473)</f>
        <v>121808.28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908422.55000000447</v>
      </c>
      <c r="G476" s="53">
        <f>(G465+G470)- G474</f>
        <v>70958.180000000051</v>
      </c>
      <c r="H476" s="53">
        <f>(H465+H470)- H474</f>
        <v>61164.89000000013</v>
      </c>
      <c r="I476" s="53">
        <f>(I465+I470)- I474</f>
        <v>86816.989999999991</v>
      </c>
      <c r="J476" s="53">
        <f>(J465+J470)- J474</f>
        <v>3879127.7000000007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74" t="s">
        <v>912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912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 t="s">
        <v>914</v>
      </c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>
        <v>20</v>
      </c>
      <c r="H490" s="154">
        <v>10</v>
      </c>
      <c r="I490" s="154">
        <v>20</v>
      </c>
      <c r="J490" s="154">
        <v>5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917</v>
      </c>
      <c r="G491" s="155" t="s">
        <v>915</v>
      </c>
      <c r="H491" s="154" t="s">
        <v>919</v>
      </c>
      <c r="I491" s="154" t="s">
        <v>921</v>
      </c>
      <c r="J491" s="154" t="s">
        <v>923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918</v>
      </c>
      <c r="G492" s="155" t="s">
        <v>916</v>
      </c>
      <c r="H492" s="154" t="s">
        <v>920</v>
      </c>
      <c r="I492" s="154" t="s">
        <v>922</v>
      </c>
      <c r="J492" s="154" t="s">
        <v>924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438009</v>
      </c>
      <c r="G493" s="18">
        <v>10895000</v>
      </c>
      <c r="H493" s="18">
        <v>1404300</v>
      </c>
      <c r="I493" s="18">
        <v>4393500</v>
      </c>
      <c r="J493" s="18">
        <v>56710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2.56</v>
      </c>
      <c r="G494" s="18">
        <v>5.58</v>
      </c>
      <c r="H494" s="18">
        <v>5.0999999999999996</v>
      </c>
      <c r="I494" s="18">
        <v>4.43</v>
      </c>
      <c r="J494" s="18">
        <v>3.79</v>
      </c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65036.11</v>
      </c>
      <c r="G495" s="18">
        <v>2720000</v>
      </c>
      <c r="H495" s="18">
        <v>1120000</v>
      </c>
      <c r="I495" s="18">
        <v>2855000</v>
      </c>
      <c r="J495" s="18">
        <v>44710</v>
      </c>
      <c r="K495" s="53">
        <f>SUM(F495:J495)</f>
        <v>6804746.1099999994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>
        <v>0</v>
      </c>
      <c r="I496" s="18">
        <v>0</v>
      </c>
      <c r="J496" s="18">
        <v>0</v>
      </c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65036.11</v>
      </c>
      <c r="G497" s="18">
        <v>545000</v>
      </c>
      <c r="H497" s="18">
        <v>140000</v>
      </c>
      <c r="I497" s="18">
        <v>220000</v>
      </c>
      <c r="J497" s="18">
        <v>10561.75</v>
      </c>
      <c r="K497" s="53">
        <f t="shared" si="35"/>
        <v>980597.86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>
        <v>2175000</v>
      </c>
      <c r="H498" s="204">
        <v>980000</v>
      </c>
      <c r="I498" s="204">
        <v>2635000</v>
      </c>
      <c r="J498" s="204">
        <v>34148.25</v>
      </c>
      <c r="K498" s="205">
        <f t="shared" si="35"/>
        <v>5824148.25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>
        <v>310181.26</v>
      </c>
      <c r="H499" s="18">
        <v>240030</v>
      </c>
      <c r="I499" s="18">
        <v>732175.48</v>
      </c>
      <c r="J499" s="18">
        <v>2620.5300000000002</v>
      </c>
      <c r="K499" s="53">
        <f t="shared" si="35"/>
        <v>1285007.27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2485181.2599999998</v>
      </c>
      <c r="H500" s="42">
        <f>SUM(H498:H499)</f>
        <v>1220030</v>
      </c>
      <c r="I500" s="42">
        <f>SUM(I498:I499)</f>
        <v>3367175.48</v>
      </c>
      <c r="J500" s="42">
        <f>SUM(J498:J499)</f>
        <v>36768.78</v>
      </c>
      <c r="K500" s="42">
        <f t="shared" si="35"/>
        <v>7109155.5200000005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0</v>
      </c>
      <c r="G501" s="204">
        <v>545000</v>
      </c>
      <c r="H501" s="204">
        <v>140000</v>
      </c>
      <c r="I501" s="204">
        <v>220000</v>
      </c>
      <c r="J501" s="204">
        <v>10962.04</v>
      </c>
      <c r="K501" s="205">
        <f t="shared" si="35"/>
        <v>915962.04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>
        <v>123700</v>
      </c>
      <c r="H502" s="18">
        <v>56700</v>
      </c>
      <c r="I502" s="18">
        <v>114456.26</v>
      </c>
      <c r="J502" s="18">
        <v>1294.22</v>
      </c>
      <c r="K502" s="53">
        <f t="shared" si="35"/>
        <v>296150.48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668700</v>
      </c>
      <c r="H503" s="42">
        <f>SUM(H501:H502)</f>
        <v>196700</v>
      </c>
      <c r="I503" s="42">
        <f>SUM(I501:I502)</f>
        <v>334456.26</v>
      </c>
      <c r="J503" s="42">
        <f>SUM(J501:J502)</f>
        <v>12256.26</v>
      </c>
      <c r="K503" s="42">
        <f t="shared" si="35"/>
        <v>1212112.52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1140986</v>
      </c>
      <c r="G507" s="144">
        <v>496655.84</v>
      </c>
      <c r="H507" s="144"/>
      <c r="I507" s="144">
        <v>1637641.84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1519047.66+77677.99+73672.88</f>
        <v>1670398.5299999998</v>
      </c>
      <c r="G521" s="18">
        <f>33890.87+831619.75</f>
        <v>865510.62</v>
      </c>
      <c r="H521" s="18">
        <f>90047.46+38333.86</f>
        <v>128381.32</v>
      </c>
      <c r="I521" s="18">
        <f>12225.11+104.33</f>
        <v>12329.44</v>
      </c>
      <c r="J521" s="18">
        <v>107.58</v>
      </c>
      <c r="K521" s="18"/>
      <c r="L521" s="88">
        <f>SUM(F521:K521)</f>
        <v>2676727.4899999998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879674.42+94092.79+47985.94</f>
        <v>1021753.1500000001</v>
      </c>
      <c r="G522" s="18">
        <f>21964.91+483202.13</f>
        <v>505167.04</v>
      </c>
      <c r="H522" s="18">
        <f>214358.48+24844.44</f>
        <v>239202.92</v>
      </c>
      <c r="I522" s="18">
        <f>7031.4+834.65</f>
        <v>7866.0499999999993</v>
      </c>
      <c r="J522" s="18">
        <f>85.2+860.68</f>
        <v>945.88</v>
      </c>
      <c r="K522" s="18"/>
      <c r="L522" s="88">
        <f>SUM(F522:K522)</f>
        <v>1774935.04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677607.25+214974.2+43829.85</f>
        <v>936411.29999999993</v>
      </c>
      <c r="G523" s="18">
        <f>19625+384342.37</f>
        <v>403967.37</v>
      </c>
      <c r="H523" s="18">
        <f>109720.53+22197.78</f>
        <v>131918.31</v>
      </c>
      <c r="I523" s="18">
        <f>4275.19+2538.74</f>
        <v>6813.9299999999994</v>
      </c>
      <c r="J523" s="18">
        <v>2617.89</v>
      </c>
      <c r="K523" s="18"/>
      <c r="L523" s="88">
        <f>SUM(F523:K523)</f>
        <v>1481728.7999999998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3628562.9799999995</v>
      </c>
      <c r="G524" s="108">
        <f t="shared" ref="G524:L524" si="36">SUM(G521:G523)</f>
        <v>1774645.0299999998</v>
      </c>
      <c r="H524" s="108">
        <f t="shared" si="36"/>
        <v>499502.55</v>
      </c>
      <c r="I524" s="108">
        <f t="shared" si="36"/>
        <v>27009.42</v>
      </c>
      <c r="J524" s="108">
        <f t="shared" si="36"/>
        <v>3671.35</v>
      </c>
      <c r="K524" s="108">
        <f t="shared" si="36"/>
        <v>0</v>
      </c>
      <c r="L524" s="89">
        <f t="shared" si="36"/>
        <v>5933391.3299999991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591167.36+382.67+45483</f>
        <v>637033.03</v>
      </c>
      <c r="G526" s="18">
        <f>20792.05+77236.31</f>
        <v>98028.36</v>
      </c>
      <c r="H526" s="18">
        <v>3533.41</v>
      </c>
      <c r="I526" s="18">
        <v>3988.09</v>
      </c>
      <c r="J526" s="18">
        <v>2499.5700000000002</v>
      </c>
      <c r="K526" s="18"/>
      <c r="L526" s="88">
        <f>SUM(F526:K526)</f>
        <v>745082.46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108527.8+68224.5</f>
        <v>176752.3</v>
      </c>
      <c r="G527" s="18">
        <f>31188.07+69103.02</f>
        <v>100291.09</v>
      </c>
      <c r="H527" s="18">
        <v>2176.09</v>
      </c>
      <c r="I527" s="18">
        <v>1521.51</v>
      </c>
      <c r="J527" s="18">
        <v>724.51</v>
      </c>
      <c r="K527" s="18"/>
      <c r="L527" s="88">
        <f>SUM(F527:K527)</f>
        <v>281465.50000000006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59690.29+113707.5</f>
        <v>173397.79</v>
      </c>
      <c r="G528" s="18">
        <f>51980.12+139057.45</f>
        <v>191037.57</v>
      </c>
      <c r="H528" s="18">
        <v>1933.86</v>
      </c>
      <c r="I528" s="18">
        <v>1346.63</v>
      </c>
      <c r="J528" s="18">
        <v>398.48</v>
      </c>
      <c r="K528" s="18"/>
      <c r="L528" s="88">
        <f>SUM(F528:K528)</f>
        <v>368114.32999999996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987183.12000000011</v>
      </c>
      <c r="G529" s="89">
        <f t="shared" ref="G529:L529" si="37">SUM(G526:G528)</f>
        <v>389357.02</v>
      </c>
      <c r="H529" s="89">
        <f t="shared" si="37"/>
        <v>7643.36</v>
      </c>
      <c r="I529" s="89">
        <f t="shared" si="37"/>
        <v>6856.2300000000005</v>
      </c>
      <c r="J529" s="89">
        <f t="shared" si="37"/>
        <v>3622.56</v>
      </c>
      <c r="K529" s="89">
        <f t="shared" si="37"/>
        <v>0</v>
      </c>
      <c r="L529" s="89">
        <f t="shared" si="37"/>
        <v>1394662.29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138735.37</v>
      </c>
      <c r="G531" s="18">
        <v>13970.04</v>
      </c>
      <c r="H531" s="18">
        <v>2045.43</v>
      </c>
      <c r="I531" s="18">
        <v>1120.42</v>
      </c>
      <c r="J531" s="18">
        <f>1524.41</f>
        <v>1524.41</v>
      </c>
      <c r="K531" s="18">
        <v>688.32</v>
      </c>
      <c r="L531" s="88">
        <f>SUM(F531:K531)</f>
        <v>158083.99000000002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89915.35</v>
      </c>
      <c r="G532" s="18">
        <v>14293.56</v>
      </c>
      <c r="H532" s="18">
        <v>1325.66</v>
      </c>
      <c r="I532" s="18">
        <v>726.15</v>
      </c>
      <c r="J532" s="18">
        <v>987.98</v>
      </c>
      <c r="K532" s="18">
        <v>446.1</v>
      </c>
      <c r="L532" s="88">
        <f>SUM(F532:K532)</f>
        <v>107694.8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80336.740000000005</v>
      </c>
      <c r="G533" s="18">
        <v>12437.07</v>
      </c>
      <c r="H533" s="18">
        <v>1184.44</v>
      </c>
      <c r="I533" s="18">
        <v>648.79999999999995</v>
      </c>
      <c r="J533" s="18">
        <v>882.73</v>
      </c>
      <c r="K533" s="18">
        <v>398.58</v>
      </c>
      <c r="L533" s="88">
        <f>SUM(F533:K533)</f>
        <v>95888.36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308987.46000000002</v>
      </c>
      <c r="G534" s="89">
        <f t="shared" ref="G534:L534" si="38">SUM(G531:G533)</f>
        <v>40700.67</v>
      </c>
      <c r="H534" s="89">
        <f t="shared" si="38"/>
        <v>4555.5300000000007</v>
      </c>
      <c r="I534" s="89">
        <f t="shared" si="38"/>
        <v>2495.37</v>
      </c>
      <c r="J534" s="89">
        <f t="shared" si="38"/>
        <v>3395.1200000000003</v>
      </c>
      <c r="K534" s="89">
        <f t="shared" si="38"/>
        <v>1533</v>
      </c>
      <c r="L534" s="89">
        <f t="shared" si="38"/>
        <v>361667.15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7350.58</v>
      </c>
      <c r="I536" s="18"/>
      <c r="J536" s="18"/>
      <c r="K536" s="18"/>
      <c r="L536" s="88">
        <f>SUM(F536:K536)</f>
        <v>7350.58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5183.1000000000004</v>
      </c>
      <c r="I537" s="18"/>
      <c r="J537" s="18"/>
      <c r="K537" s="18"/>
      <c r="L537" s="88">
        <f>SUM(F537:K537)</f>
        <v>5183.1000000000004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6313.96</v>
      </c>
      <c r="I538" s="18"/>
      <c r="J538" s="18"/>
      <c r="K538" s="18"/>
      <c r="L538" s="88">
        <f>SUM(F538:K538)</f>
        <v>6313.96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18847.64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18847.64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116360.83</v>
      </c>
      <c r="I541" s="18"/>
      <c r="J541" s="18"/>
      <c r="K541" s="18"/>
      <c r="L541" s="88">
        <f>SUM(F541:K541)</f>
        <v>116360.83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133394.46</v>
      </c>
      <c r="I542" s="18"/>
      <c r="J542" s="18"/>
      <c r="K542" s="18"/>
      <c r="L542" s="88">
        <f>SUM(F542:K542)</f>
        <v>133394.46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54485.69</v>
      </c>
      <c r="I543" s="18"/>
      <c r="J543" s="18"/>
      <c r="K543" s="18"/>
      <c r="L543" s="88">
        <f>SUM(F543:K543)</f>
        <v>54485.69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304240.98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304240.98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4924733.5599999996</v>
      </c>
      <c r="G545" s="89">
        <f t="shared" ref="G545:L545" si="41">G524+G529+G534+G539+G544</f>
        <v>2204702.7199999997</v>
      </c>
      <c r="H545" s="89">
        <f t="shared" si="41"/>
        <v>834790.05999999994</v>
      </c>
      <c r="I545" s="89">
        <f t="shared" si="41"/>
        <v>36361.020000000004</v>
      </c>
      <c r="J545" s="89">
        <f t="shared" si="41"/>
        <v>10689.03</v>
      </c>
      <c r="K545" s="89">
        <f t="shared" si="41"/>
        <v>1533</v>
      </c>
      <c r="L545" s="89">
        <f t="shared" si="41"/>
        <v>8012809.3899999987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2676727.4899999998</v>
      </c>
      <c r="G549" s="87">
        <f>L526</f>
        <v>745082.46</v>
      </c>
      <c r="H549" s="87">
        <f>L531</f>
        <v>158083.99000000002</v>
      </c>
      <c r="I549" s="87">
        <f>L536</f>
        <v>7350.58</v>
      </c>
      <c r="J549" s="87">
        <f>L541</f>
        <v>116360.83</v>
      </c>
      <c r="K549" s="87">
        <f>SUM(F549:J549)</f>
        <v>3703605.35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1774935.04</v>
      </c>
      <c r="G550" s="87">
        <f>L527</f>
        <v>281465.50000000006</v>
      </c>
      <c r="H550" s="87">
        <f>L532</f>
        <v>107694.8</v>
      </c>
      <c r="I550" s="87">
        <f>L537</f>
        <v>5183.1000000000004</v>
      </c>
      <c r="J550" s="87">
        <f>L542</f>
        <v>133394.46</v>
      </c>
      <c r="K550" s="87">
        <f>SUM(F550:J550)</f>
        <v>2302672.9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1481728.7999999998</v>
      </c>
      <c r="G551" s="87">
        <f>L528</f>
        <v>368114.32999999996</v>
      </c>
      <c r="H551" s="87">
        <f>L533</f>
        <v>95888.36</v>
      </c>
      <c r="I551" s="87">
        <f>L538</f>
        <v>6313.96</v>
      </c>
      <c r="J551" s="87">
        <f>L543</f>
        <v>54485.69</v>
      </c>
      <c r="K551" s="87">
        <f>SUM(F551:J551)</f>
        <v>2006531.14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5933391.3299999991</v>
      </c>
      <c r="G552" s="89">
        <f t="shared" si="42"/>
        <v>1394662.29</v>
      </c>
      <c r="H552" s="89">
        <f t="shared" si="42"/>
        <v>361667.15</v>
      </c>
      <c r="I552" s="89">
        <f t="shared" si="42"/>
        <v>18847.64</v>
      </c>
      <c r="J552" s="89">
        <f t="shared" si="42"/>
        <v>304240.98</v>
      </c>
      <c r="K552" s="89">
        <f t="shared" si="42"/>
        <v>8012809.3899999997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f>268104.91+21687.23</f>
        <v>289792.13999999996</v>
      </c>
      <c r="G557" s="18">
        <f>30006.62+3189.48</f>
        <v>33196.1</v>
      </c>
      <c r="H557" s="18">
        <f>3971.05+516.65</f>
        <v>4487.7</v>
      </c>
      <c r="I557" s="18">
        <f>11122.89+5878.07</f>
        <v>17000.96</v>
      </c>
      <c r="J557" s="18"/>
      <c r="K557" s="18"/>
      <c r="L557" s="88">
        <f>SUM(F557:K557)</f>
        <v>344476.89999999997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289792.13999999996</v>
      </c>
      <c r="G560" s="108">
        <f t="shared" si="43"/>
        <v>33196.1</v>
      </c>
      <c r="H560" s="108">
        <f t="shared" si="43"/>
        <v>4487.7</v>
      </c>
      <c r="I560" s="108">
        <f t="shared" si="43"/>
        <v>17000.96</v>
      </c>
      <c r="J560" s="108">
        <f t="shared" si="43"/>
        <v>0</v>
      </c>
      <c r="K560" s="108">
        <f t="shared" si="43"/>
        <v>0</v>
      </c>
      <c r="L560" s="89">
        <f t="shared" si="43"/>
        <v>344476.89999999997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32550.65+660.84+592.72</f>
        <v>33804.21</v>
      </c>
      <c r="G562" s="18">
        <f>16409.17+111.33+44.13</f>
        <v>16564.63</v>
      </c>
      <c r="H562" s="18">
        <f>272.05+22.79</f>
        <v>294.84000000000003</v>
      </c>
      <c r="I562" s="18">
        <f>502.65</f>
        <v>502.65</v>
      </c>
      <c r="J562" s="18">
        <f>486.21</f>
        <v>486.21</v>
      </c>
      <c r="K562" s="18"/>
      <c r="L562" s="88">
        <f>SUM(F562:K562)</f>
        <v>51652.539999999994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f>22952.38+465.98+417.95</f>
        <v>23836.31</v>
      </c>
      <c r="G563" s="18">
        <f>11570.56+78.5+31.12</f>
        <v>11680.18</v>
      </c>
      <c r="H563" s="18">
        <f>191.83+16.07</f>
        <v>207.9</v>
      </c>
      <c r="I563" s="18">
        <f>354.43</f>
        <v>354.43</v>
      </c>
      <c r="J563" s="18">
        <f>342.84</f>
        <v>342.84</v>
      </c>
      <c r="K563" s="18"/>
      <c r="L563" s="88">
        <f>SUM(F563:K563)</f>
        <v>36421.660000000003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f>27960.17+567.65+509.13</f>
        <v>29036.95</v>
      </c>
      <c r="G564" s="18">
        <f>14095.06+95.63+37.91</f>
        <v>14228.599999999999</v>
      </c>
      <c r="H564" s="18">
        <f>233.68+19.57</f>
        <v>253.25</v>
      </c>
      <c r="I564" s="18">
        <f>431.76</f>
        <v>431.76</v>
      </c>
      <c r="J564" s="18">
        <f>417.64</f>
        <v>417.64</v>
      </c>
      <c r="K564" s="18"/>
      <c r="L564" s="88">
        <f>SUM(F564:K564)</f>
        <v>44368.200000000004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86677.47</v>
      </c>
      <c r="G565" s="89">
        <f t="shared" si="44"/>
        <v>42473.41</v>
      </c>
      <c r="H565" s="89">
        <f t="shared" si="44"/>
        <v>755.99</v>
      </c>
      <c r="I565" s="89">
        <f t="shared" si="44"/>
        <v>1288.8399999999999</v>
      </c>
      <c r="J565" s="89">
        <f t="shared" si="44"/>
        <v>1246.69</v>
      </c>
      <c r="K565" s="89">
        <f t="shared" si="44"/>
        <v>0</v>
      </c>
      <c r="L565" s="89">
        <f t="shared" si="44"/>
        <v>132442.4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76055</v>
      </c>
      <c r="G567" s="18">
        <v>41567.5</v>
      </c>
      <c r="H567" s="18"/>
      <c r="I567" s="18">
        <v>375.49</v>
      </c>
      <c r="J567" s="18"/>
      <c r="K567" s="18">
        <v>488.5</v>
      </c>
      <c r="L567" s="88">
        <f>SUM(F567:K567)</f>
        <v>118486.49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76055</v>
      </c>
      <c r="G570" s="193">
        <f t="shared" ref="G570:L570" si="45">SUM(G567:G569)</f>
        <v>41567.5</v>
      </c>
      <c r="H570" s="193">
        <f t="shared" si="45"/>
        <v>0</v>
      </c>
      <c r="I570" s="193">
        <f t="shared" si="45"/>
        <v>375.49</v>
      </c>
      <c r="J570" s="193">
        <f t="shared" si="45"/>
        <v>0</v>
      </c>
      <c r="K570" s="193">
        <f t="shared" si="45"/>
        <v>488.5</v>
      </c>
      <c r="L570" s="193">
        <f t="shared" si="45"/>
        <v>118486.49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452524.61</v>
      </c>
      <c r="G571" s="89">
        <f t="shared" ref="G571:L571" si="46">G560+G565+G570</f>
        <v>117237.01000000001</v>
      </c>
      <c r="H571" s="89">
        <f t="shared" si="46"/>
        <v>5243.69</v>
      </c>
      <c r="I571" s="89">
        <f t="shared" si="46"/>
        <v>18665.29</v>
      </c>
      <c r="J571" s="89">
        <f t="shared" si="46"/>
        <v>1246.69</v>
      </c>
      <c r="K571" s="89">
        <f t="shared" si="46"/>
        <v>488.5</v>
      </c>
      <c r="L571" s="89">
        <f t="shared" si="46"/>
        <v>595405.78999999992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90047.46</v>
      </c>
      <c r="G582" s="18">
        <v>214358.48</v>
      </c>
      <c r="H582" s="18">
        <v>109720.53</v>
      </c>
      <c r="I582" s="87">
        <f t="shared" si="47"/>
        <v>414126.47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6020.4</v>
      </c>
      <c r="I584" s="87">
        <f t="shared" si="47"/>
        <v>6020.4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392925.08</v>
      </c>
      <c r="I591" s="18">
        <v>231545.13</v>
      </c>
      <c r="J591" s="18">
        <v>77181.710000000006</v>
      </c>
      <c r="K591" s="104">
        <f t="shared" ref="K591:K597" si="48">SUM(H591:J591)</f>
        <v>701651.91999999993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116360.83</v>
      </c>
      <c r="I592" s="18">
        <v>133394.46</v>
      </c>
      <c r="J592" s="18">
        <v>54485.69</v>
      </c>
      <c r="K592" s="104">
        <f t="shared" si="48"/>
        <v>304240.98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3595.5</v>
      </c>
      <c r="K593" s="104">
        <f t="shared" si="48"/>
        <v>3595.5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21910.81</v>
      </c>
      <c r="J594" s="18">
        <v>75213.350000000006</v>
      </c>
      <c r="K594" s="104">
        <f t="shared" si="48"/>
        <v>97124.160000000003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509285.91000000003</v>
      </c>
      <c r="I598" s="108">
        <f>SUM(I591:I597)</f>
        <v>386850.39999999997</v>
      </c>
      <c r="J598" s="108">
        <f>SUM(J591:J597)</f>
        <v>210476.25000000003</v>
      </c>
      <c r="K598" s="108">
        <f>SUM(K591:K597)</f>
        <v>1106612.5599999998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37625.19+43954.51+924.08</f>
        <v>82503.780000000013</v>
      </c>
      <c r="I604" s="18">
        <f>17686.07+3469.92+30653.46+195.43</f>
        <v>52004.88</v>
      </c>
      <c r="J604" s="18">
        <f>57283.84+43330.81+3821+38106-0.01+67.16</f>
        <v>142608.79999999999</v>
      </c>
      <c r="K604" s="104">
        <f>SUM(H604:J604)</f>
        <v>277117.45999999996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82503.780000000013</v>
      </c>
      <c r="I605" s="108">
        <f>SUM(I602:I604)</f>
        <v>52004.88</v>
      </c>
      <c r="J605" s="108">
        <f>SUM(J602:J604)</f>
        <v>142608.79999999999</v>
      </c>
      <c r="K605" s="108">
        <f>SUM(K602:K604)</f>
        <v>277117.45999999996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10419.5+32189.48+15938.76+4067.05+23938.56</f>
        <v>86553.35</v>
      </c>
      <c r="G611" s="18">
        <f>9812.56+2142.43</f>
        <v>11954.99</v>
      </c>
      <c r="H611" s="18"/>
      <c r="I611" s="18">
        <f>3194.38+1532.18</f>
        <v>4726.5600000000004</v>
      </c>
      <c r="J611" s="18"/>
      <c r="K611" s="18"/>
      <c r="L611" s="88">
        <f>SUM(F611:K611)</f>
        <v>103234.90000000001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5160</f>
        <v>5160</v>
      </c>
      <c r="G612" s="18">
        <v>1203.31</v>
      </c>
      <c r="H612" s="18"/>
      <c r="I612" s="18"/>
      <c r="J612" s="18"/>
      <c r="K612" s="18"/>
      <c r="L612" s="88">
        <f>SUM(F612:K612)</f>
        <v>6363.3099999999995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3120</f>
        <v>3120</v>
      </c>
      <c r="G613" s="18">
        <v>727.58</v>
      </c>
      <c r="H613" s="18"/>
      <c r="I613" s="18"/>
      <c r="J613" s="18"/>
      <c r="K613" s="18"/>
      <c r="L613" s="88">
        <f>SUM(F613:K613)</f>
        <v>3847.58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94833.35</v>
      </c>
      <c r="G614" s="108">
        <f t="shared" si="49"/>
        <v>13885.88</v>
      </c>
      <c r="H614" s="108">
        <f t="shared" si="49"/>
        <v>0</v>
      </c>
      <c r="I614" s="108">
        <f t="shared" si="49"/>
        <v>4726.5600000000004</v>
      </c>
      <c r="J614" s="108">
        <f t="shared" si="49"/>
        <v>0</v>
      </c>
      <c r="K614" s="108">
        <f t="shared" si="49"/>
        <v>0</v>
      </c>
      <c r="L614" s="89">
        <f t="shared" si="49"/>
        <v>113445.79000000001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1139281.7000000002</v>
      </c>
      <c r="H617" s="109">
        <f>SUM(F52)</f>
        <v>1139281.7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152942.18</v>
      </c>
      <c r="H618" s="109">
        <f>SUM(G52)</f>
        <v>152942.18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336818.43</v>
      </c>
      <c r="H619" s="109">
        <f>SUM(H52)</f>
        <v>336818.43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86816.99</v>
      </c>
      <c r="H620" s="109">
        <f>SUM(I52)</f>
        <v>86816.99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3879127.7</v>
      </c>
      <c r="H621" s="109">
        <f>SUM(J52)</f>
        <v>3879127.7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908422.55</v>
      </c>
      <c r="H622" s="109">
        <f>F476</f>
        <v>908422.55000000447</v>
      </c>
      <c r="I622" s="121" t="s">
        <v>101</v>
      </c>
      <c r="J622" s="109">
        <f t="shared" ref="J622:J655" si="50">G622-H622</f>
        <v>-4.4237822294235229E-9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70958.179999999993</v>
      </c>
      <c r="H623" s="109">
        <f>G476</f>
        <v>70958.180000000051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61164.89</v>
      </c>
      <c r="H624" s="109">
        <f>H476</f>
        <v>61164.89000000013</v>
      </c>
      <c r="I624" s="121" t="s">
        <v>103</v>
      </c>
      <c r="J624" s="109">
        <f t="shared" si="50"/>
        <v>-1.3096723705530167E-10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86816.99</v>
      </c>
      <c r="H625" s="109">
        <f>I476</f>
        <v>86816.989999999991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3879127.7</v>
      </c>
      <c r="H626" s="109">
        <f>J476</f>
        <v>3879127.7000000007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35704755.139999993</v>
      </c>
      <c r="H627" s="104">
        <f>SUM(F468)</f>
        <v>35704755.140000001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727879.40999999992</v>
      </c>
      <c r="H628" s="104">
        <f>SUM(G468)</f>
        <v>727879.41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1261744.05</v>
      </c>
      <c r="H629" s="104">
        <f>SUM(H468)</f>
        <v>1261744.05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159898.08000000002</v>
      </c>
      <c r="H631" s="104">
        <f>SUM(J468)</f>
        <v>159898.07999999999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35906912.290000007</v>
      </c>
      <c r="H632" s="104">
        <f>SUM(F472)</f>
        <v>35906912.289999999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1254487.8500000001</v>
      </c>
      <c r="H633" s="104">
        <f>SUM(H472)</f>
        <v>1254487.8499999999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296592.08</v>
      </c>
      <c r="H634" s="104">
        <f>I369</f>
        <v>296592.07999999996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727879.41000000015</v>
      </c>
      <c r="H635" s="104">
        <f>SUM(G472)</f>
        <v>727879.41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159898.07999999999</v>
      </c>
      <c r="H637" s="164">
        <f>SUM(J468)</f>
        <v>159898.07999999999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78800.45</v>
      </c>
      <c r="H638" s="164">
        <f>SUM(J472)</f>
        <v>78800.45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217611.41999999998</v>
      </c>
      <c r="H640" s="104">
        <f>SUM(G461)</f>
        <v>217611.42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3661516.2800000003</v>
      </c>
      <c r="H641" s="104">
        <f>SUM(H461)</f>
        <v>3661516.2800000003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3879127.7</v>
      </c>
      <c r="H642" s="104">
        <f>SUM(I461)</f>
        <v>3879127.7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143732.58000000002</v>
      </c>
      <c r="H644" s="104">
        <f>H408</f>
        <v>143732.57999999999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159898.08000000002</v>
      </c>
      <c r="H646" s="104">
        <f>L408</f>
        <v>159898.07999999999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1106612.5599999998</v>
      </c>
      <c r="H647" s="104">
        <f>L208+L226+L244</f>
        <v>1106612.56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277117.45999999996</v>
      </c>
      <c r="H648" s="104">
        <f>(J257+J338)-(J255+J336)</f>
        <v>277117.46000000002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509285.91000000003</v>
      </c>
      <c r="H649" s="104">
        <f>H598</f>
        <v>509285.91000000003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386850.4</v>
      </c>
      <c r="H650" s="104">
        <f>I598</f>
        <v>386850.39999999997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210476.25</v>
      </c>
      <c r="H651" s="104">
        <f>J598</f>
        <v>210476.25000000003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57581.56</v>
      </c>
      <c r="H652" s="104">
        <f>K263+K345</f>
        <v>57581.56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14023162.399999999</v>
      </c>
      <c r="G660" s="19">
        <f>(L229+L309+L359)</f>
        <v>9401346.290000001</v>
      </c>
      <c r="H660" s="19">
        <f>(L247+L328+L360)</f>
        <v>13078806.800000003</v>
      </c>
      <c r="I660" s="19">
        <f>SUM(F660:H660)</f>
        <v>36503315.490000002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144876.66046956784</v>
      </c>
      <c r="G661" s="19">
        <f>(L359/IF(SUM(L358:L360)=0,1,SUM(L358:L360))*(SUM(G97:G110)))</f>
        <v>111842.42071138485</v>
      </c>
      <c r="H661" s="19">
        <f>(L360/IF(SUM(L358:L360)=0,1,SUM(L358:L360))*(SUM(G97:G110)))</f>
        <v>155521.5888190472</v>
      </c>
      <c r="I661" s="19">
        <f>SUM(F661:H661)</f>
        <v>412240.66999999993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509515.91000000003</v>
      </c>
      <c r="G662" s="19">
        <f>(L226+L306)-(J226+J306)</f>
        <v>386850.4</v>
      </c>
      <c r="H662" s="19">
        <f>(L244+L325)-(J244+J325)</f>
        <v>215510.31</v>
      </c>
      <c r="I662" s="19">
        <f>SUM(F662:H662)</f>
        <v>1111876.6200000001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275786.14</v>
      </c>
      <c r="G663" s="199">
        <f>SUM(G575:G587)+SUM(I602:I604)+L612</f>
        <v>272726.67</v>
      </c>
      <c r="H663" s="199">
        <f>SUM(H575:H587)+SUM(J602:J604)+L613</f>
        <v>262197.31</v>
      </c>
      <c r="I663" s="19">
        <f>SUM(F663:H663)</f>
        <v>810710.12000000011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13092983.68953043</v>
      </c>
      <c r="G664" s="19">
        <f>G660-SUM(G661:G663)</f>
        <v>8629926.7992886156</v>
      </c>
      <c r="H664" s="19">
        <f>H660-SUM(H661:H663)</f>
        <v>12445577.591180956</v>
      </c>
      <c r="I664" s="19">
        <f>I660-SUM(I661:I663)</f>
        <v>34168488.079999998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901.91</v>
      </c>
      <c r="G665" s="248">
        <v>621.29</v>
      </c>
      <c r="H665" s="248">
        <v>820.55</v>
      </c>
      <c r="I665" s="19">
        <f>SUM(F665:H665)</f>
        <v>2343.75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14516.95</v>
      </c>
      <c r="G667" s="19">
        <f>ROUND(G664/G665,2)</f>
        <v>13890.34</v>
      </c>
      <c r="H667" s="19">
        <f>ROUND(H664/H665,2)</f>
        <v>15167.36</v>
      </c>
      <c r="I667" s="19">
        <f>ROUND(I664/I665,2)</f>
        <v>14578.55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5.93</v>
      </c>
      <c r="I670" s="19">
        <f>SUM(F670:H670)</f>
        <v>5.93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14516.95</v>
      </c>
      <c r="G672" s="19">
        <f>ROUND((G664+G669)/(G665+G670),2)</f>
        <v>13890.34</v>
      </c>
      <c r="H672" s="19">
        <f>ROUND((H664+H669)/(H665+H670),2)</f>
        <v>15058.53</v>
      </c>
      <c r="I672" s="19">
        <f>ROUND((I664+I669)/(I665+I670),2)</f>
        <v>14541.76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MILFORD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9736764.9000000004</v>
      </c>
      <c r="C9" s="229">
        <f>'DOE25'!G197+'DOE25'!G215+'DOE25'!G233+'DOE25'!G276+'DOE25'!G295+'DOE25'!G314</f>
        <v>5103860.37</v>
      </c>
    </row>
    <row r="10" spans="1:3" x14ac:dyDescent="0.2">
      <c r="A10" t="s">
        <v>779</v>
      </c>
      <c r="B10" s="240">
        <v>9022348.9499999993</v>
      </c>
      <c r="C10" s="240">
        <v>4729374.67</v>
      </c>
    </row>
    <row r="11" spans="1:3" x14ac:dyDescent="0.2">
      <c r="A11" t="s">
        <v>780</v>
      </c>
      <c r="B11" s="240">
        <v>536788.94999999995</v>
      </c>
      <c r="C11" s="240">
        <v>281376.40000000002</v>
      </c>
    </row>
    <row r="12" spans="1:3" x14ac:dyDescent="0.2">
      <c r="A12" t="s">
        <v>781</v>
      </c>
      <c r="B12" s="240">
        <v>177627</v>
      </c>
      <c r="C12" s="240">
        <v>93109.3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9736764.8999999985</v>
      </c>
      <c r="C13" s="231">
        <f>SUM(C10:C12)</f>
        <v>5103860.37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3598233.3200000003</v>
      </c>
      <c r="C18" s="229">
        <f>'DOE25'!G198+'DOE25'!G216+'DOE25'!G234+'DOE25'!G277+'DOE25'!G296+'DOE25'!G315</f>
        <v>1783377.46</v>
      </c>
    </row>
    <row r="19" spans="1:3" x14ac:dyDescent="0.2">
      <c r="A19" t="s">
        <v>779</v>
      </c>
      <c r="B19" s="240">
        <v>1874387.4</v>
      </c>
      <c r="C19" s="240">
        <v>928992.86</v>
      </c>
    </row>
    <row r="20" spans="1:3" x14ac:dyDescent="0.2">
      <c r="A20" t="s">
        <v>780</v>
      </c>
      <c r="B20" s="240">
        <v>1623446.33</v>
      </c>
      <c r="C20" s="240">
        <v>804622.97</v>
      </c>
    </row>
    <row r="21" spans="1:3" x14ac:dyDescent="0.2">
      <c r="A21" t="s">
        <v>781</v>
      </c>
      <c r="B21" s="240">
        <v>100399.59</v>
      </c>
      <c r="C21" s="240">
        <v>49761.63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3598233.32</v>
      </c>
      <c r="C22" s="231">
        <f>SUM(C19:C21)</f>
        <v>1783377.46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715809.69000000006</v>
      </c>
      <c r="C27" s="234">
        <f>'DOE25'!G199+'DOE25'!G217+'DOE25'!G235+'DOE25'!G278+'DOE25'!G297+'DOE25'!G316</f>
        <v>376349.31</v>
      </c>
    </row>
    <row r="28" spans="1:3" x14ac:dyDescent="0.2">
      <c r="A28" t="s">
        <v>779</v>
      </c>
      <c r="B28" s="240">
        <v>715809.69</v>
      </c>
      <c r="C28" s="240">
        <v>376349.31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715809.69</v>
      </c>
      <c r="C31" s="231">
        <f>SUM(C28:C30)</f>
        <v>376349.31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226733.71</v>
      </c>
      <c r="C36" s="235">
        <f>'DOE25'!G200+'DOE25'!G218+'DOE25'!G236+'DOE25'!G279+'DOE25'!G298+'DOE25'!G317</f>
        <v>22370.43</v>
      </c>
    </row>
    <row r="37" spans="1:3" x14ac:dyDescent="0.2">
      <c r="A37" t="s">
        <v>779</v>
      </c>
      <c r="B37" s="240">
        <v>41918.26</v>
      </c>
      <c r="C37" s="240">
        <v>4135.82</v>
      </c>
    </row>
    <row r="38" spans="1:3" x14ac:dyDescent="0.2">
      <c r="A38" t="s">
        <v>780</v>
      </c>
      <c r="B38" s="240">
        <v>5579.55</v>
      </c>
      <c r="C38" s="240">
        <v>550.5</v>
      </c>
    </row>
    <row r="39" spans="1:3" x14ac:dyDescent="0.2">
      <c r="A39" t="s">
        <v>781</v>
      </c>
      <c r="B39" s="240">
        <v>179235.9</v>
      </c>
      <c r="C39" s="240">
        <v>17684.11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226733.71</v>
      </c>
      <c r="C40" s="231">
        <f>SUM(C37:C39)</f>
        <v>22370.43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FY2015-2016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MILFORD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22001017.640000001</v>
      </c>
      <c r="D5" s="20">
        <f>SUM('DOE25'!L197:L200)+SUM('DOE25'!L215:L218)+SUM('DOE25'!L233:L236)-F5-G5</f>
        <v>21901477.899999999</v>
      </c>
      <c r="E5" s="243"/>
      <c r="F5" s="255">
        <f>SUM('DOE25'!J197:J200)+SUM('DOE25'!J215:J218)+SUM('DOE25'!J233:J236)</f>
        <v>81070.44</v>
      </c>
      <c r="G5" s="53">
        <f>SUM('DOE25'!K197:K200)+SUM('DOE25'!K215:K218)+SUM('DOE25'!K233:K236)</f>
        <v>18469.3</v>
      </c>
      <c r="H5" s="259"/>
    </row>
    <row r="6" spans="1:9" x14ac:dyDescent="0.2">
      <c r="A6" s="32">
        <v>2100</v>
      </c>
      <c r="B6" t="s">
        <v>801</v>
      </c>
      <c r="C6" s="245">
        <f t="shared" si="0"/>
        <v>2925126.38</v>
      </c>
      <c r="D6" s="20">
        <f>'DOE25'!L202+'DOE25'!L220+'DOE25'!L238-F6-G6</f>
        <v>2919811.63</v>
      </c>
      <c r="E6" s="243"/>
      <c r="F6" s="255">
        <f>'DOE25'!J202+'DOE25'!J220+'DOE25'!J238</f>
        <v>4854.75</v>
      </c>
      <c r="G6" s="53">
        <f>'DOE25'!K202+'DOE25'!K220+'DOE25'!K238</f>
        <v>460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544394.62</v>
      </c>
      <c r="D7" s="20">
        <f>'DOE25'!L203+'DOE25'!L221+'DOE25'!L239-F7-G7</f>
        <v>538289.05999999994</v>
      </c>
      <c r="E7" s="243"/>
      <c r="F7" s="255">
        <f>'DOE25'!J203+'DOE25'!J221+'DOE25'!J239</f>
        <v>6105.5599999999995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1816896.8500000006</v>
      </c>
      <c r="D8" s="243"/>
      <c r="E8" s="20">
        <f>'DOE25'!L204+'DOE25'!L222+'DOE25'!L240-F8-G8-D9-D11</f>
        <v>1801303.9800000004</v>
      </c>
      <c r="F8" s="255">
        <f>'DOE25'!J204+'DOE25'!J222+'DOE25'!J240</f>
        <v>3395.1200000000003</v>
      </c>
      <c r="G8" s="53">
        <f>'DOE25'!K204+'DOE25'!K222+'DOE25'!K240</f>
        <v>12197.75</v>
      </c>
      <c r="H8" s="259"/>
    </row>
    <row r="9" spans="1:9" x14ac:dyDescent="0.2">
      <c r="A9" s="32">
        <v>2310</v>
      </c>
      <c r="B9" t="s">
        <v>818</v>
      </c>
      <c r="C9" s="245">
        <f t="shared" si="0"/>
        <v>85272.47</v>
      </c>
      <c r="D9" s="244">
        <v>85272.47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16350</v>
      </c>
      <c r="D10" s="243"/>
      <c r="E10" s="244">
        <v>16350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236756.24</v>
      </c>
      <c r="D11" s="244">
        <v>236756.24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1922281.73</v>
      </c>
      <c r="D12" s="20">
        <f>'DOE25'!L205+'DOE25'!L223+'DOE25'!L241-F12-G12</f>
        <v>1893451.98</v>
      </c>
      <c r="E12" s="243"/>
      <c r="F12" s="255">
        <f>'DOE25'!J205+'DOE25'!J223+'DOE25'!J241</f>
        <v>79.989999999999995</v>
      </c>
      <c r="G12" s="53">
        <f>'DOE25'!K205+'DOE25'!K223+'DOE25'!K241</f>
        <v>28749.760000000002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2814087.32</v>
      </c>
      <c r="D14" s="20">
        <f>'DOE25'!L207+'DOE25'!L225+'DOE25'!L243-F14-G14</f>
        <v>2786394.25</v>
      </c>
      <c r="E14" s="243"/>
      <c r="F14" s="255">
        <f>'DOE25'!J207+'DOE25'!J225+'DOE25'!J243</f>
        <v>27693.07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1106612.56</v>
      </c>
      <c r="D15" s="20">
        <f>'DOE25'!L208+'DOE25'!L226+'DOE25'!L244-F15-G15</f>
        <v>1106612.56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1068502.42</v>
      </c>
      <c r="D16" s="243"/>
      <c r="E16" s="20">
        <f>'DOE25'!L209+'DOE25'!L227+'DOE25'!L245-F16-G16</f>
        <v>966392.28999999992</v>
      </c>
      <c r="F16" s="255">
        <f>'DOE25'!J209+'DOE25'!J227+'DOE25'!J245</f>
        <v>102110.12999999999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1328382.5</v>
      </c>
      <c r="D25" s="243"/>
      <c r="E25" s="243"/>
      <c r="F25" s="258"/>
      <c r="G25" s="256"/>
      <c r="H25" s="257">
        <f>'DOE25'!L260+'DOE25'!L261+'DOE25'!L341+'DOE25'!L342</f>
        <v>1328382.5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461669.43000000017</v>
      </c>
      <c r="D29" s="20">
        <f>'DOE25'!L358+'DOE25'!L359+'DOE25'!L360-'DOE25'!I367-F29-G29</f>
        <v>451426.94000000018</v>
      </c>
      <c r="E29" s="243"/>
      <c r="F29" s="255">
        <f>'DOE25'!J358+'DOE25'!J359+'DOE25'!J360</f>
        <v>8380.64</v>
      </c>
      <c r="G29" s="53">
        <f>'DOE25'!K358+'DOE25'!K359+'DOE25'!K360</f>
        <v>1861.85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1254487.8500000001</v>
      </c>
      <c r="D31" s="20">
        <f>'DOE25'!L290+'DOE25'!L309+'DOE25'!L328+'DOE25'!L333+'DOE25'!L334+'DOE25'!L335-F31-G31</f>
        <v>1199130.7900000003</v>
      </c>
      <c r="E31" s="243"/>
      <c r="F31" s="255">
        <f>'DOE25'!J290+'DOE25'!J309+'DOE25'!J328+'DOE25'!J333+'DOE25'!J334+'DOE25'!J335</f>
        <v>51808.4</v>
      </c>
      <c r="G31" s="53">
        <f>'DOE25'!K290+'DOE25'!K309+'DOE25'!K328+'DOE25'!K333+'DOE25'!K334+'DOE25'!K335</f>
        <v>3548.66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33118623.819999993</v>
      </c>
      <c r="E33" s="246">
        <f>SUM(E5:E31)</f>
        <v>2784046.2700000005</v>
      </c>
      <c r="F33" s="246">
        <f>SUM(F5:F31)</f>
        <v>285498.10000000003</v>
      </c>
      <c r="G33" s="246">
        <f>SUM(G5:G31)</f>
        <v>65287.319999999992</v>
      </c>
      <c r="H33" s="246">
        <f>SUM(H5:H31)</f>
        <v>1328382.5</v>
      </c>
    </row>
    <row r="35" spans="2:8" ht="12" thickBot="1" x14ac:dyDescent="0.25">
      <c r="B35" s="253" t="s">
        <v>847</v>
      </c>
      <c r="D35" s="254">
        <f>E33</f>
        <v>2784046.2700000005</v>
      </c>
      <c r="E35" s="249"/>
    </row>
    <row r="36" spans="2:8" ht="12" thickTop="1" x14ac:dyDescent="0.2">
      <c r="B36" t="s">
        <v>815</v>
      </c>
      <c r="D36" s="20">
        <f>D33</f>
        <v>33118623.819999993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2" sqref="A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MILFORD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370185.13</v>
      </c>
      <c r="D8" s="95">
        <f>'DOE25'!G9</f>
        <v>246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493788.68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77902.720000000001</v>
      </c>
      <c r="D11" s="95">
        <f>'DOE25'!G12</f>
        <v>139487.57999999999</v>
      </c>
      <c r="E11" s="95">
        <f>'DOE25'!H12</f>
        <v>125070.26</v>
      </c>
      <c r="F11" s="95">
        <f>'DOE25'!I12</f>
        <v>86816.99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66887.259999999995</v>
      </c>
      <c r="D12" s="95">
        <f>'DOE25'!G13</f>
        <v>13044.6</v>
      </c>
      <c r="E12" s="95">
        <f>'DOE25'!H13</f>
        <v>211748.17</v>
      </c>
      <c r="F12" s="95">
        <f>'DOE25'!I13</f>
        <v>0</v>
      </c>
      <c r="G12" s="95">
        <f>'DOE25'!J13</f>
        <v>3879127.7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6189.78</v>
      </c>
      <c r="D13" s="95">
        <f>'DOE25'!G14</f>
        <v>164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124328.13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1139281.7000000002</v>
      </c>
      <c r="D18" s="41">
        <f>SUM(D8:D17)</f>
        <v>152942.18</v>
      </c>
      <c r="E18" s="41">
        <f>SUM(E8:E17)</f>
        <v>336818.43</v>
      </c>
      <c r="F18" s="41">
        <f>SUM(F8:F17)</f>
        <v>86816.99</v>
      </c>
      <c r="G18" s="41">
        <f>SUM(G8:G17)</f>
        <v>3879127.7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71640.009999999995</v>
      </c>
      <c r="D21" s="95">
        <f>'DOE25'!G22</f>
        <v>81984</v>
      </c>
      <c r="E21" s="95">
        <f>'DOE25'!H22</f>
        <v>275653.53999999998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40277.24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118941.9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230859.15</v>
      </c>
      <c r="D31" s="41">
        <f>SUM(D21:D30)</f>
        <v>81984</v>
      </c>
      <c r="E31" s="41">
        <f>SUM(E21:E30)</f>
        <v>275653.53999999998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124328.13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1014740.7000000002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127483.11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2736903.89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70958.179999999993</v>
      </c>
      <c r="E47" s="95">
        <f>'DOE25'!H48</f>
        <v>61164.89</v>
      </c>
      <c r="F47" s="95">
        <f>'DOE25'!I48</f>
        <v>86816.99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318979.76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465114.66000000003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908422.55</v>
      </c>
      <c r="D50" s="41">
        <f>SUM(D34:D49)</f>
        <v>70958.179999999993</v>
      </c>
      <c r="E50" s="41">
        <f>SUM(E34:E49)</f>
        <v>61164.89</v>
      </c>
      <c r="F50" s="41">
        <f>SUM(F34:F49)</f>
        <v>86816.99</v>
      </c>
      <c r="G50" s="41">
        <f>SUM(G34:G49)</f>
        <v>3879127.7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1139281.7</v>
      </c>
      <c r="D51" s="41">
        <f>D50+D31</f>
        <v>152942.18</v>
      </c>
      <c r="E51" s="41">
        <f>E50+E31</f>
        <v>336818.43</v>
      </c>
      <c r="F51" s="41">
        <f>F50+F31</f>
        <v>86816.99</v>
      </c>
      <c r="G51" s="41">
        <f>G50+G31</f>
        <v>3879127.7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22851748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1286850.52</v>
      </c>
      <c r="D57" s="24" t="s">
        <v>289</v>
      </c>
      <c r="E57" s="95">
        <f>'DOE25'!H79</f>
        <v>50790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1141.79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143732.58000000002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412240.67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19308.559999999998</v>
      </c>
      <c r="D61" s="95">
        <f>SUM('DOE25'!G98:G110)</f>
        <v>0</v>
      </c>
      <c r="E61" s="95">
        <f>SUM('DOE25'!H98:H110)</f>
        <v>44577.45</v>
      </c>
      <c r="F61" s="95">
        <f>SUM('DOE25'!I98:I110)</f>
        <v>0</v>
      </c>
      <c r="G61" s="95">
        <f>SUM('DOE25'!J98:J110)</f>
        <v>16165.5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1307300.8700000001</v>
      </c>
      <c r="D62" s="130">
        <f>SUM(D57:D61)</f>
        <v>412240.67</v>
      </c>
      <c r="E62" s="130">
        <f>SUM(E57:E61)</f>
        <v>95367.45</v>
      </c>
      <c r="F62" s="130">
        <f>SUM(F57:F61)</f>
        <v>0</v>
      </c>
      <c r="G62" s="130">
        <f>SUM(G57:G61)</f>
        <v>159898.08000000002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24159048.870000001</v>
      </c>
      <c r="D63" s="22">
        <f>D56+D62</f>
        <v>412240.67</v>
      </c>
      <c r="E63" s="22">
        <f>E56+E62</f>
        <v>95367.45</v>
      </c>
      <c r="F63" s="22">
        <f>F56+F62</f>
        <v>0</v>
      </c>
      <c r="G63" s="22">
        <f>G56+G62</f>
        <v>159898.08000000002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7825626.7000000002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3004090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3895.7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10833612.399999999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240864.94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14250.96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85930.74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9491.18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341046.64</v>
      </c>
      <c r="D78" s="130">
        <f>SUM(D72:D77)</f>
        <v>9491.18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11174659.039999999</v>
      </c>
      <c r="D81" s="130">
        <f>SUM(D79:D80)+D78+D70</f>
        <v>9491.18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15270.93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336047.23</v>
      </c>
      <c r="D88" s="95">
        <f>SUM('DOE25'!G153:G161)</f>
        <v>233295.07</v>
      </c>
      <c r="E88" s="95">
        <f>SUM('DOE25'!H153:H161)</f>
        <v>1165350.1500000001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336047.23</v>
      </c>
      <c r="D91" s="131">
        <f>SUM(D85:D90)</f>
        <v>248566</v>
      </c>
      <c r="E91" s="131">
        <f>SUM(E85:E90)</f>
        <v>1165350.1500000001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57581.56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35000</v>
      </c>
      <c r="D100" s="95">
        <f>SUM('DOE25'!G186:G187)</f>
        <v>0</v>
      </c>
      <c r="E100" s="95">
        <f>SUM('DOE25'!H186:H187)</f>
        <v>1026.45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35000</v>
      </c>
      <c r="D103" s="86">
        <f>SUM(D93:D102)</f>
        <v>57581.56</v>
      </c>
      <c r="E103" s="86">
        <f>SUM(E93:E102)</f>
        <v>1026.45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35704755.139999993</v>
      </c>
      <c r="D104" s="86">
        <f>D63+D81+D91+D103</f>
        <v>727879.40999999992</v>
      </c>
      <c r="E104" s="86">
        <f>E63+E81+E91+E103</f>
        <v>1261744.05</v>
      </c>
      <c r="F104" s="86">
        <f>F63+F81+F91+F103</f>
        <v>0</v>
      </c>
      <c r="G104" s="86">
        <f>G63+G81+G103</f>
        <v>159898.08000000002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14830886.680000002</v>
      </c>
      <c r="D109" s="24" t="s">
        <v>289</v>
      </c>
      <c r="E109" s="95">
        <f>('DOE25'!L276)+('DOE25'!L295)+('DOE25'!L314)</f>
        <v>380027.46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5701867.0599999996</v>
      </c>
      <c r="D110" s="24" t="s">
        <v>289</v>
      </c>
      <c r="E110" s="95">
        <f>('DOE25'!L277)+('DOE25'!L296)+('DOE25'!L315)</f>
        <v>212402.56999999998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1125560.8599999999</v>
      </c>
      <c r="D111" s="24" t="s">
        <v>289</v>
      </c>
      <c r="E111" s="95">
        <f>('DOE25'!L278)+('DOE25'!L297)+('DOE25'!L316)</f>
        <v>117677.77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342703.04000000004</v>
      </c>
      <c r="D112" s="24" t="s">
        <v>289</v>
      </c>
      <c r="E112" s="95">
        <f>+('DOE25'!L279)+('DOE25'!L298)+('DOE25'!L317)</f>
        <v>35941.99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22001017.640000001</v>
      </c>
      <c r="D115" s="86">
        <f>SUM(D109:D114)</f>
        <v>0</v>
      </c>
      <c r="E115" s="86">
        <f>SUM(E109:E114)</f>
        <v>746049.79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2925126.38</v>
      </c>
      <c r="D118" s="24" t="s">
        <v>289</v>
      </c>
      <c r="E118" s="95">
        <f>+('DOE25'!L281)+('DOE25'!L300)+('DOE25'!L319)</f>
        <v>362329.19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544394.62</v>
      </c>
      <c r="D119" s="24" t="s">
        <v>289</v>
      </c>
      <c r="E119" s="95">
        <f>+('DOE25'!L282)+('DOE25'!L301)+('DOE25'!L320)</f>
        <v>54415.25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2138925.5600000005</v>
      </c>
      <c r="D120" s="24" t="s">
        <v>289</v>
      </c>
      <c r="E120" s="95">
        <f>+('DOE25'!L283)+('DOE25'!L302)+('DOE25'!L321)</f>
        <v>86429.56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1922281.73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2814087.32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1106612.56</v>
      </c>
      <c r="D124" s="24" t="s">
        <v>289</v>
      </c>
      <c r="E124" s="95">
        <f>+('DOE25'!L287)+('DOE25'!L306)+('DOE25'!L325)</f>
        <v>5264.0599999999995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1068502.42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727879.41000000015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12519930.590000002</v>
      </c>
      <c r="D128" s="86">
        <f>SUM(D118:D127)</f>
        <v>727879.41000000015</v>
      </c>
      <c r="E128" s="86">
        <f>SUM(E118:E127)</f>
        <v>508438.06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980597.86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347784.64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35000</v>
      </c>
    </row>
    <row r="135" spans="1:7" x14ac:dyDescent="0.2">
      <c r="A135" t="s">
        <v>233</v>
      </c>
      <c r="B135" s="32" t="s">
        <v>234</v>
      </c>
      <c r="C135" s="95">
        <f>'DOE25'!L263</f>
        <v>57581.56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23129.41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136768.66999999998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-159898.07999999999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1385964.0599999998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35000</v>
      </c>
    </row>
    <row r="145" spans="1:9" ht="12.75" thickTop="1" thickBot="1" x14ac:dyDescent="0.25">
      <c r="A145" s="33" t="s">
        <v>244</v>
      </c>
      <c r="C145" s="86">
        <f>(C115+C128+C144)</f>
        <v>35906912.290000007</v>
      </c>
      <c r="D145" s="86">
        <f>(D115+D128+D144)</f>
        <v>727879.41000000015</v>
      </c>
      <c r="E145" s="86">
        <f>(E115+E128+E144)</f>
        <v>1254487.8500000001</v>
      </c>
      <c r="F145" s="86">
        <f>(F115+F128+F144)</f>
        <v>0</v>
      </c>
      <c r="G145" s="86">
        <f>(G115+G128+G144)</f>
        <v>35000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20</v>
      </c>
      <c r="D151" s="153">
        <f>'DOE25'!H490</f>
        <v>10</v>
      </c>
      <c r="E151" s="153">
        <f>'DOE25'!I490</f>
        <v>20</v>
      </c>
      <c r="F151" s="153">
        <f>'DOE25'!J490</f>
        <v>5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07/10</v>
      </c>
      <c r="C152" s="152" t="str">
        <f>'DOE25'!G491</f>
        <v>01/00</v>
      </c>
      <c r="D152" s="152" t="str">
        <f>'DOE25'!H491</f>
        <v>July 2013</v>
      </c>
      <c r="E152" s="152" t="str">
        <f>'DOE25'!I491</f>
        <v>Jan 2008</v>
      </c>
      <c r="F152" s="152" t="str">
        <f>'DOE25'!J491</f>
        <v>Nov 2014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07/15</v>
      </c>
      <c r="C153" s="152" t="str">
        <f>'DOE25'!G492</f>
        <v>01/20</v>
      </c>
      <c r="D153" s="152" t="str">
        <f>'DOE25'!H492</f>
        <v>Aug 2023</v>
      </c>
      <c r="E153" s="152" t="str">
        <f>'DOE25'!I492</f>
        <v>Jan 2028</v>
      </c>
      <c r="F153" s="152" t="str">
        <f>'DOE25'!J492</f>
        <v>Nov 2019</v>
      </c>
      <c r="G153" s="24" t="s">
        <v>289</v>
      </c>
    </row>
    <row r="154" spans="1:9" x14ac:dyDescent="0.2">
      <c r="A154" s="136" t="s">
        <v>30</v>
      </c>
      <c r="B154" s="137">
        <f>'DOE25'!F493</f>
        <v>438009</v>
      </c>
      <c r="C154" s="137">
        <f>'DOE25'!G493</f>
        <v>10895000</v>
      </c>
      <c r="D154" s="137">
        <f>'DOE25'!H493</f>
        <v>1404300</v>
      </c>
      <c r="E154" s="137">
        <f>'DOE25'!I493</f>
        <v>4393500</v>
      </c>
      <c r="F154" s="137">
        <f>'DOE25'!J493</f>
        <v>56710</v>
      </c>
      <c r="G154" s="24" t="s">
        <v>289</v>
      </c>
    </row>
    <row r="155" spans="1:9" x14ac:dyDescent="0.2">
      <c r="A155" s="136" t="s">
        <v>31</v>
      </c>
      <c r="B155" s="137">
        <f>'DOE25'!F494</f>
        <v>2.56</v>
      </c>
      <c r="C155" s="137">
        <f>'DOE25'!G494</f>
        <v>5.58</v>
      </c>
      <c r="D155" s="137">
        <f>'DOE25'!H494</f>
        <v>5.0999999999999996</v>
      </c>
      <c r="E155" s="137">
        <f>'DOE25'!I494</f>
        <v>4.43</v>
      </c>
      <c r="F155" s="137">
        <f>'DOE25'!J494</f>
        <v>3.79</v>
      </c>
      <c r="G155" s="24" t="s">
        <v>289</v>
      </c>
    </row>
    <row r="156" spans="1:9" x14ac:dyDescent="0.2">
      <c r="A156" s="22" t="s">
        <v>32</v>
      </c>
      <c r="B156" s="137">
        <f>'DOE25'!F495</f>
        <v>65036.11</v>
      </c>
      <c r="C156" s="137">
        <f>'DOE25'!G495</f>
        <v>2720000</v>
      </c>
      <c r="D156" s="137">
        <f>'DOE25'!H495</f>
        <v>1120000</v>
      </c>
      <c r="E156" s="137">
        <f>'DOE25'!I495</f>
        <v>2855000</v>
      </c>
      <c r="F156" s="137">
        <f>'DOE25'!J495</f>
        <v>44710</v>
      </c>
      <c r="G156" s="138">
        <f>SUM(B156:F156)</f>
        <v>6804746.1099999994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65036.11</v>
      </c>
      <c r="C158" s="137">
        <f>'DOE25'!G497</f>
        <v>545000</v>
      </c>
      <c r="D158" s="137">
        <f>'DOE25'!H497</f>
        <v>140000</v>
      </c>
      <c r="E158" s="137">
        <f>'DOE25'!I497</f>
        <v>220000</v>
      </c>
      <c r="F158" s="137">
        <f>'DOE25'!J497</f>
        <v>10561.75</v>
      </c>
      <c r="G158" s="138">
        <f t="shared" si="0"/>
        <v>980597.86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2175000</v>
      </c>
      <c r="D159" s="137">
        <f>'DOE25'!H498</f>
        <v>980000</v>
      </c>
      <c r="E159" s="137">
        <f>'DOE25'!I498</f>
        <v>2635000</v>
      </c>
      <c r="F159" s="137">
        <f>'DOE25'!J498</f>
        <v>34148.25</v>
      </c>
      <c r="G159" s="138">
        <f t="shared" si="0"/>
        <v>5824148.25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310181.26</v>
      </c>
      <c r="D160" s="137">
        <f>'DOE25'!H499</f>
        <v>240030</v>
      </c>
      <c r="E160" s="137">
        <f>'DOE25'!I499</f>
        <v>732175.48</v>
      </c>
      <c r="F160" s="137">
        <f>'DOE25'!J499</f>
        <v>2620.5300000000002</v>
      </c>
      <c r="G160" s="138">
        <f t="shared" si="0"/>
        <v>1285007.27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2485181.2599999998</v>
      </c>
      <c r="D161" s="137">
        <f>'DOE25'!H500</f>
        <v>1220030</v>
      </c>
      <c r="E161" s="137">
        <f>'DOE25'!I500</f>
        <v>3367175.48</v>
      </c>
      <c r="F161" s="137">
        <f>'DOE25'!J500</f>
        <v>36768.78</v>
      </c>
      <c r="G161" s="138">
        <f t="shared" si="0"/>
        <v>7109155.5200000005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545000</v>
      </c>
      <c r="D162" s="137">
        <f>'DOE25'!H501</f>
        <v>140000</v>
      </c>
      <c r="E162" s="137">
        <f>'DOE25'!I501</f>
        <v>220000</v>
      </c>
      <c r="F162" s="137">
        <f>'DOE25'!J501</f>
        <v>10962.04</v>
      </c>
      <c r="G162" s="138">
        <f t="shared" si="0"/>
        <v>915962.04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123700</v>
      </c>
      <c r="D163" s="137">
        <f>'DOE25'!H502</f>
        <v>56700</v>
      </c>
      <c r="E163" s="137">
        <f>'DOE25'!I502</f>
        <v>114456.26</v>
      </c>
      <c r="F163" s="137">
        <f>'DOE25'!J502</f>
        <v>1294.22</v>
      </c>
      <c r="G163" s="138">
        <f t="shared" si="0"/>
        <v>296150.48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668700</v>
      </c>
      <c r="D164" s="137">
        <f>'DOE25'!H503</f>
        <v>196700</v>
      </c>
      <c r="E164" s="137">
        <f>'DOE25'!I503</f>
        <v>334456.26</v>
      </c>
      <c r="F164" s="137">
        <f>'DOE25'!J503</f>
        <v>12256.26</v>
      </c>
      <c r="G164" s="138">
        <f t="shared" si="0"/>
        <v>1212112.52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MILFORD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14517</v>
      </c>
    </row>
    <row r="5" spans="1:4" x14ac:dyDescent="0.2">
      <c r="B5" t="s">
        <v>704</v>
      </c>
      <c r="C5" s="179">
        <f>IF('DOE25'!G665+'DOE25'!G670=0,0,ROUND('DOE25'!G672,0))</f>
        <v>13890</v>
      </c>
    </row>
    <row r="6" spans="1:4" x14ac:dyDescent="0.2">
      <c r="B6" t="s">
        <v>62</v>
      </c>
      <c r="C6" s="179">
        <f>IF('DOE25'!H665+'DOE25'!H670=0,0,ROUND('DOE25'!H672,0))</f>
        <v>15059</v>
      </c>
    </row>
    <row r="7" spans="1:4" x14ac:dyDescent="0.2">
      <c r="B7" t="s">
        <v>705</v>
      </c>
      <c r="C7" s="179">
        <f>IF('DOE25'!I665+'DOE25'!I670=0,0,ROUND('DOE25'!I672,0))</f>
        <v>14542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15210914</v>
      </c>
      <c r="D10" s="182">
        <f>ROUND((C10/$C$28)*100,1)</f>
        <v>41.7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5914270</v>
      </c>
      <c r="D11" s="182">
        <f>ROUND((C11/$C$28)*100,1)</f>
        <v>16.2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1243239</v>
      </c>
      <c r="D12" s="182">
        <f>ROUND((C12/$C$28)*100,1)</f>
        <v>3.4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378645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3287456</v>
      </c>
      <c r="D15" s="182">
        <f t="shared" ref="D15:D27" si="0">ROUND((C15/$C$28)*100,1)</f>
        <v>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598810</v>
      </c>
      <c r="D16" s="182">
        <f t="shared" si="0"/>
        <v>1.6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3293858</v>
      </c>
      <c r="D17" s="182">
        <f t="shared" si="0"/>
        <v>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1922282</v>
      </c>
      <c r="D18" s="182">
        <f t="shared" si="0"/>
        <v>5.3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2814087</v>
      </c>
      <c r="D20" s="182">
        <f t="shared" si="0"/>
        <v>7.7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1111877</v>
      </c>
      <c r="D21" s="182">
        <f t="shared" si="0"/>
        <v>3.1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347785</v>
      </c>
      <c r="D25" s="182">
        <f t="shared" si="0"/>
        <v>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315638.33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36438861.329999998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36438861.329999998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980598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22851748</v>
      </c>
      <c r="D35" s="182">
        <f t="shared" ref="D35:D40" si="1">ROUND((C35/$C$41)*100,1)</f>
        <v>61.2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1562566.3999999985</v>
      </c>
      <c r="D36" s="182">
        <f t="shared" si="1"/>
        <v>4.2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10829717</v>
      </c>
      <c r="D37" s="182">
        <f t="shared" si="1"/>
        <v>29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354434</v>
      </c>
      <c r="D38" s="182">
        <f t="shared" si="1"/>
        <v>0.9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1749963</v>
      </c>
      <c r="D39" s="182">
        <f t="shared" si="1"/>
        <v>4.7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37348428.399999999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MILFORD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2016-08-31T18:33:00Z</cp:lastPrinted>
  <dcterms:created xsi:type="dcterms:W3CDTF">1997-12-04T19:04:30Z</dcterms:created>
  <dcterms:modified xsi:type="dcterms:W3CDTF">2016-11-30T16:35:54Z</dcterms:modified>
</cp:coreProperties>
</file>