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150" windowWidth="12735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E10" i="13" l="1"/>
  <c r="C38" i="12" l="1"/>
  <c r="C37" i="12"/>
  <c r="C28" i="12"/>
  <c r="C20" i="12"/>
  <c r="C19" i="12"/>
  <c r="C39" i="12"/>
  <c r="B37" i="12"/>
  <c r="B28" i="12"/>
  <c r="B20" i="12"/>
  <c r="B19" i="12"/>
  <c r="B39" i="12"/>
  <c r="B38" i="12"/>
  <c r="H243" i="1" l="1"/>
  <c r="H244" i="1"/>
  <c r="G613" i="1" l="1"/>
  <c r="G612" i="1"/>
  <c r="G611" i="1"/>
  <c r="F613" i="1" l="1"/>
  <c r="F612" i="1"/>
  <c r="F611" i="1"/>
  <c r="J604" i="1"/>
  <c r="I604" i="1"/>
  <c r="I594" i="1" l="1"/>
  <c r="I595" i="1"/>
  <c r="J593" i="1"/>
  <c r="F226" i="1"/>
  <c r="F244" i="1"/>
  <c r="G226" i="1"/>
  <c r="G244" i="1"/>
  <c r="H226" i="1"/>
  <c r="I226" i="1"/>
  <c r="I244" i="1"/>
  <c r="K226" i="1"/>
  <c r="K244" i="1"/>
  <c r="K243" i="1"/>
  <c r="K225" i="1"/>
  <c r="J225" i="1"/>
  <c r="J243" i="1"/>
  <c r="I225" i="1"/>
  <c r="I243" i="1"/>
  <c r="H225" i="1"/>
  <c r="F243" i="1"/>
  <c r="G243" i="1"/>
  <c r="F225" i="1"/>
  <c r="G225" i="1"/>
  <c r="F502" i="1" l="1"/>
  <c r="F499" i="1"/>
  <c r="G468" i="1" l="1"/>
  <c r="F473" i="1"/>
  <c r="H472" i="1" l="1"/>
  <c r="H468" i="1"/>
  <c r="J469" i="1"/>
  <c r="J472" i="1"/>
  <c r="H422" i="1" l="1"/>
  <c r="H426" i="1"/>
  <c r="I320" i="1" l="1"/>
  <c r="I314" i="1"/>
  <c r="I282" i="1"/>
  <c r="H301" i="1"/>
  <c r="H300" i="1"/>
  <c r="H320" i="1"/>
  <c r="H319" i="1"/>
  <c r="H314" i="1"/>
  <c r="H295" i="1"/>
  <c r="H282" i="1"/>
  <c r="G314" i="1"/>
  <c r="G282" i="1"/>
  <c r="F314" i="1"/>
  <c r="F325" i="1"/>
  <c r="F282" i="1"/>
  <c r="H155" i="1"/>
  <c r="H154" i="1"/>
  <c r="H146" i="1"/>
  <c r="G440" i="1" l="1"/>
  <c r="F440" i="1"/>
  <c r="J358" i="1" l="1"/>
  <c r="H358" i="1"/>
  <c r="I239" i="1" l="1"/>
  <c r="I238" i="1"/>
  <c r="I220" i="1"/>
  <c r="I202" i="1"/>
  <c r="H222" i="1"/>
  <c r="H221" i="1"/>
  <c r="H220" i="1"/>
  <c r="H216" i="1"/>
  <c r="H208" i="1"/>
  <c r="H204" i="1"/>
  <c r="H203" i="1"/>
  <c r="H202" i="1"/>
  <c r="H198" i="1"/>
  <c r="G239" i="1"/>
  <c r="G238" i="1"/>
  <c r="G235" i="1"/>
  <c r="G223" i="1"/>
  <c r="G222" i="1"/>
  <c r="G221" i="1"/>
  <c r="G220" i="1"/>
  <c r="G218" i="1"/>
  <c r="G216" i="1"/>
  <c r="G215" i="1"/>
  <c r="G208" i="1" l="1"/>
  <c r="G207" i="1"/>
  <c r="G205" i="1"/>
  <c r="G204" i="1"/>
  <c r="G203" i="1"/>
  <c r="G202" i="1"/>
  <c r="G200" i="1"/>
  <c r="G198" i="1"/>
  <c r="G197" i="1"/>
  <c r="F238" i="1" l="1"/>
  <c r="F220" i="1"/>
  <c r="F202" i="1"/>
  <c r="F236" i="1"/>
  <c r="F218" i="1"/>
  <c r="F200" i="1"/>
  <c r="F234" i="1"/>
  <c r="F216" i="1"/>
  <c r="F198" i="1"/>
  <c r="F233" i="1"/>
  <c r="F215" i="1"/>
  <c r="F110" i="1"/>
  <c r="F24" i="1"/>
  <c r="F14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G17" i="13"/>
  <c r="L251" i="1"/>
  <c r="D17" i="13" s="1"/>
  <c r="C17" i="13" s="1"/>
  <c r="F18" i="13"/>
  <c r="D18" i="13" s="1"/>
  <c r="C18" i="13" s="1"/>
  <c r="G18" i="13"/>
  <c r="L252" i="1"/>
  <c r="F19" i="13"/>
  <c r="G19" i="13"/>
  <c r="D19" i="13" s="1"/>
  <c r="C19" i="13" s="1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E111" i="2" s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E118" i="2" s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E131" i="2" s="1"/>
  <c r="L342" i="1"/>
  <c r="C25" i="10" s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E56" i="2" s="1"/>
  <c r="I60" i="1"/>
  <c r="F79" i="1"/>
  <c r="F94" i="1"/>
  <c r="C58" i="2" s="1"/>
  <c r="F111" i="1"/>
  <c r="F112" i="1" s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J140" i="1" s="1"/>
  <c r="F147" i="1"/>
  <c r="C85" i="2" s="1"/>
  <c r="F162" i="1"/>
  <c r="G147" i="1"/>
  <c r="D85" i="2" s="1"/>
  <c r="G162" i="1"/>
  <c r="H147" i="1"/>
  <c r="E85" i="2" s="1"/>
  <c r="H162" i="1"/>
  <c r="I147" i="1"/>
  <c r="I169" i="1" s="1"/>
  <c r="I162" i="1"/>
  <c r="L250" i="1"/>
  <c r="C113" i="2" s="1"/>
  <c r="L332" i="1"/>
  <c r="E113" i="2" s="1"/>
  <c r="L254" i="1"/>
  <c r="L268" i="1"/>
  <c r="C142" i="2" s="1"/>
  <c r="L269" i="1"/>
  <c r="C143" i="2" s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L542" i="1"/>
  <c r="L543" i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56" i="2"/>
  <c r="D56" i="2"/>
  <c r="F56" i="2"/>
  <c r="C57" i="2"/>
  <c r="E57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2" i="2"/>
  <c r="C114" i="2"/>
  <c r="E114" i="2"/>
  <c r="D115" i="2"/>
  <c r="F115" i="2"/>
  <c r="G115" i="2"/>
  <c r="E120" i="2"/>
  <c r="E121" i="2"/>
  <c r="E123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I211" i="1"/>
  <c r="J211" i="1"/>
  <c r="H604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H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H461" i="1" s="1"/>
  <c r="H641" i="1" s="1"/>
  <c r="J641" i="1" s="1"/>
  <c r="I452" i="1"/>
  <c r="F460" i="1"/>
  <c r="F461" i="1" s="1"/>
  <c r="H639" i="1" s="1"/>
  <c r="G460" i="1"/>
  <c r="H460" i="1"/>
  <c r="I460" i="1"/>
  <c r="I461" i="1" s="1"/>
  <c r="H642" i="1" s="1"/>
  <c r="G461" i="1"/>
  <c r="H640" i="1" s="1"/>
  <c r="F470" i="1"/>
  <c r="G470" i="1"/>
  <c r="G476" i="1" s="1"/>
  <c r="H623" i="1" s="1"/>
  <c r="H470" i="1"/>
  <c r="I470" i="1"/>
  <c r="J470" i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I560" i="1"/>
  <c r="J560" i="1"/>
  <c r="J571" i="1" s="1"/>
  <c r="K560" i="1"/>
  <c r="L562" i="1"/>
  <c r="L563" i="1"/>
  <c r="L565" i="1" s="1"/>
  <c r="L564" i="1"/>
  <c r="F565" i="1"/>
  <c r="G565" i="1"/>
  <c r="H565" i="1"/>
  <c r="I565" i="1"/>
  <c r="I571" i="1" s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3" i="1"/>
  <c r="K594" i="1"/>
  <c r="K595" i="1"/>
  <c r="K596" i="1"/>
  <c r="K597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1" i="1"/>
  <c r="G643" i="1"/>
  <c r="G644" i="1"/>
  <c r="H644" i="1"/>
  <c r="J644" i="1" s="1"/>
  <c r="G652" i="1"/>
  <c r="H652" i="1"/>
  <c r="G653" i="1"/>
  <c r="H653" i="1"/>
  <c r="G654" i="1"/>
  <c r="H654" i="1"/>
  <c r="H655" i="1"/>
  <c r="L351" i="1"/>
  <c r="K571" i="1"/>
  <c r="L433" i="1"/>
  <c r="H476" i="1"/>
  <c r="H624" i="1" s="1"/>
  <c r="J624" i="1" s="1"/>
  <c r="F571" i="1"/>
  <c r="K545" i="1"/>
  <c r="F22" i="13"/>
  <c r="C22" i="13" s="1"/>
  <c r="H571" i="1"/>
  <c r="H338" i="1"/>
  <c r="H352" i="1" s="1"/>
  <c r="H192" i="1"/>
  <c r="G36" i="2"/>
  <c r="A13" i="12" l="1"/>
  <c r="L614" i="1"/>
  <c r="K605" i="1"/>
  <c r="G648" i="1" s="1"/>
  <c r="D91" i="2"/>
  <c r="C26" i="10"/>
  <c r="I545" i="1"/>
  <c r="J476" i="1"/>
  <c r="H626" i="1" s="1"/>
  <c r="J551" i="1"/>
  <c r="J552" i="1" s="1"/>
  <c r="J592" i="1"/>
  <c r="E16" i="13"/>
  <c r="C16" i="13" s="1"/>
  <c r="K549" i="1"/>
  <c r="E13" i="13"/>
  <c r="C13" i="13" s="1"/>
  <c r="L539" i="1"/>
  <c r="H545" i="1"/>
  <c r="L427" i="1"/>
  <c r="C122" i="2"/>
  <c r="L270" i="1"/>
  <c r="J550" i="1"/>
  <c r="I592" i="1"/>
  <c r="G649" i="1"/>
  <c r="C119" i="2"/>
  <c r="J655" i="1"/>
  <c r="J591" i="1"/>
  <c r="J598" i="1" s="1"/>
  <c r="H651" i="1" s="1"/>
  <c r="H112" i="1"/>
  <c r="L534" i="1"/>
  <c r="F476" i="1"/>
  <c r="H622" i="1" s="1"/>
  <c r="G645" i="1"/>
  <c r="J639" i="1"/>
  <c r="J549" i="1"/>
  <c r="H592" i="1"/>
  <c r="K592" i="1" s="1"/>
  <c r="F130" i="2"/>
  <c r="F144" i="2" s="1"/>
  <c r="F145" i="2" s="1"/>
  <c r="F661" i="1"/>
  <c r="G112" i="1"/>
  <c r="L401" i="1"/>
  <c r="C139" i="2" s="1"/>
  <c r="C32" i="10"/>
  <c r="C78" i="2"/>
  <c r="G662" i="1"/>
  <c r="I591" i="1"/>
  <c r="I598" i="1" s="1"/>
  <c r="H650" i="1" s="1"/>
  <c r="J650" i="1" s="1"/>
  <c r="G161" i="2"/>
  <c r="F78" i="2"/>
  <c r="F81" i="2" s="1"/>
  <c r="G62" i="2"/>
  <c r="G63" i="2" s="1"/>
  <c r="G164" i="2"/>
  <c r="G156" i="2"/>
  <c r="E78" i="2"/>
  <c r="E81" i="2" s="1"/>
  <c r="E62" i="2"/>
  <c r="E63" i="2" s="1"/>
  <c r="F18" i="2"/>
  <c r="C120" i="2"/>
  <c r="G157" i="2"/>
  <c r="E103" i="2"/>
  <c r="H662" i="1"/>
  <c r="G651" i="1"/>
  <c r="E115" i="2"/>
  <c r="C18" i="2"/>
  <c r="D18" i="2"/>
  <c r="G81" i="2"/>
  <c r="C70" i="2"/>
  <c r="C62" i="2"/>
  <c r="C63" i="2" s="1"/>
  <c r="E31" i="2"/>
  <c r="D31" i="2"/>
  <c r="C91" i="2"/>
  <c r="D50" i="2"/>
  <c r="G545" i="1"/>
  <c r="L544" i="1"/>
  <c r="K550" i="1"/>
  <c r="F552" i="1"/>
  <c r="L524" i="1"/>
  <c r="K503" i="1"/>
  <c r="K500" i="1"/>
  <c r="G408" i="1"/>
  <c r="H645" i="1" s="1"/>
  <c r="L393" i="1"/>
  <c r="C138" i="2" s="1"/>
  <c r="E122" i="2"/>
  <c r="J338" i="1"/>
  <c r="J352" i="1" s="1"/>
  <c r="E119" i="2"/>
  <c r="L328" i="1"/>
  <c r="E124" i="2"/>
  <c r="L309" i="1"/>
  <c r="G338" i="1"/>
  <c r="G352" i="1" s="1"/>
  <c r="L290" i="1"/>
  <c r="F338" i="1"/>
  <c r="F352" i="1" s="1"/>
  <c r="H169" i="1"/>
  <c r="H193" i="1" s="1"/>
  <c r="G629" i="1" s="1"/>
  <c r="J629" i="1" s="1"/>
  <c r="F51" i="1"/>
  <c r="G622" i="1" s="1"/>
  <c r="G617" i="1"/>
  <c r="J640" i="1"/>
  <c r="C29" i="10"/>
  <c r="L382" i="1"/>
  <c r="G636" i="1" s="1"/>
  <c r="J636" i="1" s="1"/>
  <c r="D29" i="13"/>
  <c r="C29" i="13" s="1"/>
  <c r="G661" i="1"/>
  <c r="I661" i="1" s="1"/>
  <c r="L362" i="1"/>
  <c r="C27" i="10" s="1"/>
  <c r="D127" i="2"/>
  <c r="D128" i="2" s="1"/>
  <c r="D145" i="2" s="1"/>
  <c r="H25" i="13"/>
  <c r="C25" i="13" s="1"/>
  <c r="C131" i="2"/>
  <c r="K257" i="1"/>
  <c r="K271" i="1" s="1"/>
  <c r="D6" i="13"/>
  <c r="C6" i="13" s="1"/>
  <c r="J257" i="1"/>
  <c r="J271" i="1" s="1"/>
  <c r="C112" i="2"/>
  <c r="I257" i="1"/>
  <c r="I271" i="1" s="1"/>
  <c r="C124" i="2"/>
  <c r="C20" i="10"/>
  <c r="D15" i="13"/>
  <c r="C15" i="13" s="1"/>
  <c r="F662" i="1"/>
  <c r="C118" i="2"/>
  <c r="C15" i="10"/>
  <c r="G257" i="1"/>
  <c r="G271" i="1" s="1"/>
  <c r="C13" i="10"/>
  <c r="C111" i="2"/>
  <c r="C10" i="10"/>
  <c r="D14" i="13"/>
  <c r="C14" i="13" s="1"/>
  <c r="L247" i="1"/>
  <c r="C16" i="10"/>
  <c r="C21" i="10"/>
  <c r="E8" i="13"/>
  <c r="C8" i="13" s="1"/>
  <c r="D7" i="13"/>
  <c r="C7" i="13" s="1"/>
  <c r="H647" i="1"/>
  <c r="C123" i="2"/>
  <c r="C17" i="10"/>
  <c r="F257" i="1"/>
  <c r="F271" i="1" s="1"/>
  <c r="C11" i="10"/>
  <c r="L229" i="1"/>
  <c r="C110" i="2"/>
  <c r="C109" i="2"/>
  <c r="D5" i="13"/>
  <c r="C5" i="13" s="1"/>
  <c r="F169" i="1"/>
  <c r="J623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L571" i="1"/>
  <c r="I192" i="1"/>
  <c r="E91" i="2"/>
  <c r="E104" i="2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F193" i="1" s="1"/>
  <c r="G627" i="1" s="1"/>
  <c r="J627" i="1" s="1"/>
  <c r="C36" i="10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A22" i="12"/>
  <c r="J652" i="1"/>
  <c r="J642" i="1"/>
  <c r="G571" i="1"/>
  <c r="I434" i="1"/>
  <c r="G434" i="1"/>
  <c r="I663" i="1"/>
  <c r="D104" i="2" l="1"/>
  <c r="K551" i="1"/>
  <c r="K552" i="1" s="1"/>
  <c r="H648" i="1"/>
  <c r="J648" i="1" s="1"/>
  <c r="L408" i="1"/>
  <c r="G637" i="1" s="1"/>
  <c r="J637" i="1" s="1"/>
  <c r="J622" i="1"/>
  <c r="J645" i="1"/>
  <c r="J651" i="1"/>
  <c r="H591" i="1"/>
  <c r="C81" i="2"/>
  <c r="F104" i="2"/>
  <c r="D51" i="2"/>
  <c r="I662" i="1"/>
  <c r="C104" i="2"/>
  <c r="G51" i="2"/>
  <c r="C141" i="2"/>
  <c r="C144" i="2" s="1"/>
  <c r="H33" i="13"/>
  <c r="L545" i="1"/>
  <c r="C49" i="2"/>
  <c r="C50" i="2" s="1"/>
  <c r="C51" i="2" s="1"/>
  <c r="F52" i="1"/>
  <c r="H617" i="1" s="1"/>
  <c r="J617" i="1" s="1"/>
  <c r="E128" i="2"/>
  <c r="E145" i="2" s="1"/>
  <c r="H660" i="1"/>
  <c r="H664" i="1" s="1"/>
  <c r="H667" i="1" s="1"/>
  <c r="G660" i="1"/>
  <c r="G664" i="1" s="1"/>
  <c r="G667" i="1" s="1"/>
  <c r="L338" i="1"/>
  <c r="L352" i="1" s="1"/>
  <c r="G633" i="1" s="1"/>
  <c r="J633" i="1" s="1"/>
  <c r="D31" i="13"/>
  <c r="C31" i="13" s="1"/>
  <c r="G104" i="2"/>
  <c r="C39" i="10"/>
  <c r="G635" i="1"/>
  <c r="J635" i="1" s="1"/>
  <c r="E33" i="13"/>
  <c r="D35" i="13" s="1"/>
  <c r="C115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598" i="1" l="1"/>
  <c r="H649" i="1" s="1"/>
  <c r="J649" i="1" s="1"/>
  <c r="K591" i="1"/>
  <c r="K598" i="1" s="1"/>
  <c r="G647" i="1" s="1"/>
  <c r="J647" i="1" s="1"/>
  <c r="H646" i="1"/>
  <c r="J646" i="1" s="1"/>
  <c r="H672" i="1"/>
  <c r="C6" i="10" s="1"/>
  <c r="G672" i="1"/>
  <c r="C5" i="10" s="1"/>
  <c r="C41" i="10"/>
  <c r="D38" i="10" s="1"/>
  <c r="D37" i="10" l="1"/>
  <c r="D36" i="10"/>
  <c r="D35" i="10"/>
  <c r="D40" i="10"/>
  <c r="D39" i="10"/>
  <c r="D41" i="10" l="1"/>
  <c r="H211" i="1"/>
  <c r="H257" i="1" s="1"/>
  <c r="H271" i="1" s="1"/>
  <c r="L205" i="1"/>
  <c r="D12" i="13" s="1"/>
  <c r="D33" i="13" l="1"/>
  <c r="D36" i="13" s="1"/>
  <c r="C12" i="13"/>
  <c r="L211" i="1"/>
  <c r="C18" i="10"/>
  <c r="C121" i="2"/>
  <c r="C128" i="2" s="1"/>
  <c r="C145" i="2" s="1"/>
  <c r="C28" i="10" l="1"/>
  <c r="D18" i="10" s="1"/>
  <c r="L257" i="1"/>
  <c r="L271" i="1" s="1"/>
  <c r="G632" i="1" s="1"/>
  <c r="F660" i="1"/>
  <c r="I660" i="1" l="1"/>
  <c r="I664" i="1" s="1"/>
  <c r="F664" i="1"/>
  <c r="H656" i="1"/>
  <c r="J632" i="1"/>
  <c r="D20" i="10"/>
  <c r="D11" i="10"/>
  <c r="D24" i="10"/>
  <c r="D26" i="10"/>
  <c r="D27" i="10"/>
  <c r="D17" i="10"/>
  <c r="D19" i="10"/>
  <c r="D25" i="10"/>
  <c r="C30" i="10"/>
  <c r="D12" i="10"/>
  <c r="D23" i="10"/>
  <c r="D15" i="10"/>
  <c r="D21" i="10"/>
  <c r="D10" i="10"/>
  <c r="D13" i="10"/>
  <c r="D22" i="10"/>
  <c r="D16" i="10"/>
  <c r="I672" i="1" l="1"/>
  <c r="C7" i="10" s="1"/>
  <c r="I667" i="1"/>
  <c r="D28" i="10"/>
  <c r="F667" i="1"/>
  <c r="F672" i="1"/>
  <c r="C4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<sst xmlns="http://schemas.openxmlformats.org/spreadsheetml/2006/main" count="3960" uniqueCount="918">
  <si>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</si>
  <si>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</si>
  <si>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</si>
  <si>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</si>
  <si>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</si>
  <si>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</si>
  <si>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</si>
  <si>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</si>
  <si>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</si>
  <si>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</si>
  <si>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</si>
  <si>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</si>
  <si>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</si>
  <si>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</si>
  <si>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</si>
  <si>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</si>
  <si>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</si>
  <si>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</si>
  <si>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</si>
  <si>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</si>
  <si>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</si>
  <si>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</si>
  <si>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</si>
  <si>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</si>
  <si>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</si>
  <si>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</si>
  <si>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</si>
  <si>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</si>
  <si>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</si>
  <si>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</si>
  <si>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</si>
  <si>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</si>
  <si>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</si>
  <si>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</si>
  <si>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</si>
  <si>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</si>
  <si>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</si>
  <si>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</si>
  <si>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</si>
  <si>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</si>
  <si>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</si>
  <si>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</si>
  <si>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</si>
  <si>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</si>
  <si>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</si>
  <si>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</si>
  <si>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</si>
  <si>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</si>
  <si>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</si>
  <si>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</si>
  <si>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</si>
  <si>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</si>
  <si>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</si>
  <si>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</si>
  <si>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</si>
  <si>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</si>
  <si>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</si>
  <si>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</si>
  <si>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</si>
  <si>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</si>
  <si>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</si>
  <si>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</si>
  <si>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</si>
  <si>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</si>
  <si>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</si>
  <si>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</si>
  <si>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</si>
  <si>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</si>
  <si>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</si>
  <si>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</si>
  <si>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</si>
  <si>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</si>
  <si>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</si>
  <si>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</si>
  <si>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</si>
  <si>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</si>
  <si>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</si>
  <si>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</si>
  <si>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</si>
  <si>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</si>
  <si>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</si>
  <si>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</si>
  <si>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</si>
  <si>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</si>
  <si>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</si>
  <si>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</si>
  <si>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</si>
  <si>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</si>
  <si>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</si>
  <si>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</si>
  <si>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</si>
  <si>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</si>
  <si>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</si>
  <si>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</si>
  <si>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</si>
  <si>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</si>
  <si>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</si>
  <si>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</si>
  <si>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</si>
  <si>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</si>
  <si>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</si>
  <si>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</si>
  <si>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</si>
  <si>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</si>
  <si>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</si>
  <si>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</si>
  <si>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</si>
  <si>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</si>
  <si>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</si>
  <si>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</si>
  <si>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</si>
  <si>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</si>
  <si>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</si>
  <si>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</si>
  <si>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</si>
  <si>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</si>
  <si>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</si>
  <si>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</si>
  <si>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</si>
  <si>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</si>
  <si>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</si>
  <si>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</si>
  <si>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</si>
  <si>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</si>
  <si>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</si>
  <si>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</si>
  <si>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</si>
  <si>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</si>
  <si>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</si>
  <si>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</si>
  <si>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</si>
  <si>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</si>
  <si>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</si>
  <si>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</si>
  <si>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</si>
  <si>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</si>
  <si>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</si>
  <si>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</si>
  <si>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</si>
  <si>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</si>
  <si>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</si>
  <si>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</si>
  <si>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</si>
  <si>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</si>
  <si>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</si>
  <si>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</si>
  <si>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</si>
  <si>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</si>
  <si>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</si>
  <si>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</si>
  <si>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</si>
  <si>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</si>
  <si>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</si>
  <si>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</si>
  <si>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</si>
  <si>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</si>
  <si>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</si>
  <si>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</si>
  <si>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</si>
  <si>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</si>
  <si>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</si>
  <si>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</si>
  <si>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</si>
  <si>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</si>
  <si>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</si>
  <si>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</si>
  <si>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</si>
  <si>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</si>
  <si>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</si>
  <si>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</si>
  <si>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</si>
  <si>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</si>
  <si>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</si>
  <si>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</si>
  <si>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</si>
  <si>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</si>
  <si>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</si>
  <si>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</si>
  <si>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</si>
  <si>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</si>
  <si>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</si>
  <si>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</si>
  <si>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</si>
  <si>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</si>
  <si>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</si>
  <si>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</si>
  <si>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</si>
  <si>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</si>
  <si>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</si>
  <si>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</si>
  <si>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</si>
  <si>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</si>
  <si>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</si>
  <si>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</si>
  <si>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</si>
  <si>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</si>
  <si>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</si>
  <si>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</si>
  <si>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</si>
  <si>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</si>
  <si>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</si>
  <si>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</si>
  <si>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</si>
  <si>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</si>
  <si>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</si>
  <si>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</si>
  <si>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</si>
  <si>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</si>
  <si>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</si>
  <si>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</si>
  <si>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</si>
  <si>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</si>
  <si>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</si>
  <si>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</si>
  <si>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</si>
  <si>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</si>
  <si>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</si>
  <si>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</si>
  <si>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</si>
  <si>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</si>
  <si>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</si>
  <si>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</si>
  <si>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</si>
  <si>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</si>
  <si>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</si>
  <si>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</si>
  <si>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</si>
  <si>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</si>
  <si>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</si>
  <si>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</si>
  <si>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</si>
  <si>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</si>
  <si>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</si>
  <si>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</si>
  <si>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</si>
  <si>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</si>
  <si>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</si>
  <si>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</si>
  <si>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</si>
  <si>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</si>
  <si>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</si>
  <si>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</si>
  <si>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</si>
  <si>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</si>
  <si>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</si>
  <si>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</si>
  <si>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</si>
  <si>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</si>
  <si>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</si>
  <si>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</si>
  <si>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</si>
  <si>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</si>
  <si>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</si>
  <si>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</si>
  <si>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</si>
  <si>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</si>
  <si>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</si>
  <si>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</si>
  <si>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</si>
  <si>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</si>
  <si>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</si>
  <si>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</si>
  <si>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</si>
  <si>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</si>
  <si>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</si>
  <si>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</si>
  <si>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</si>
  <si>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</si>
  <si>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</si>
  <si>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</si>
  <si>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</si>
  <si>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</si>
  <si>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</si>
  <si>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</si>
  <si>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</si>
  <si>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</si>
  <si>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</si>
  <si>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</si>
  <si>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</si>
  <si>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</si>
  <si>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</si>
  <si>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</si>
  <si>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</si>
  <si>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</si>
  <si>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</si>
  <si>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</si>
  <si>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</si>
  <si>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</si>
  <si>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</si>
  <si>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</si>
  <si>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</si>
  <si>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</si>
  <si>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</si>
  <si>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</si>
  <si>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</si>
  <si>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</si>
  <si>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</si>
  <si>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</si>
  <si>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</si>
  <si>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</si>
  <si>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</si>
  <si>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</si>
  <si>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</si>
  <si>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</si>
  <si>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</si>
  <si>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</si>
  <si>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</si>
  <si>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</si>
  <si>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</si>
  <si>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</si>
  <si>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</si>
  <si>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</si>
  <si>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</si>
  <si>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</si>
  <si>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</si>
  <si>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</si>
  <si>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</si>
  <si>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</si>
  <si>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</si>
  <si>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</si>
  <si>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</si>
  <si>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</si>
  <si>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</si>
  <si>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</si>
  <si>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</si>
  <si>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</si>
  <si>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</si>
  <si>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</si>
  <si>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</si>
  <si>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</si>
  <si>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</si>
  <si>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</si>
  <si>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</si>
  <si>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</si>
  <si>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</si>
  <si>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</si>
  <si>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</si>
  <si>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</si>
  <si>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</si>
  <si>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</si>
  <si>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</si>
  <si>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</si>
  <si>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</si>
  <si>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</si>
  <si>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</si>
  <si>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</si>
  <si>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</si>
  <si>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</si>
  <si>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</si>
  <si>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</si>
  <si>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</si>
  <si>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</si>
  <si>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</si>
  <si>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</si>
  <si>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</si>
  <si>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</si>
  <si>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</si>
  <si>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</si>
  <si>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</si>
  <si>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</si>
  <si>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</si>
  <si>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</si>
  <si>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</si>
  <si>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</si>
  <si>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</si>
  <si>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</si>
  <si>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</si>
  <si>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</si>
  <si>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</si>
  <si>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</si>
  <si>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</si>
  <si>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</si>
  <si>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</si>
  <si>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</si>
  <si>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</si>
  <si>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</si>
  <si>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</si>
  <si>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</si>
  <si>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</si>
  <si>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</si>
  <si>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</si>
  <si>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</si>
  <si>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</si>
  <si>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</si>
  <si>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</si>
  <si>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</si>
  <si>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</si>
  <si>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</si>
  <si>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</si>
  <si>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</si>
  <si>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</si>
  <si>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</si>
  <si>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</si>
  <si>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</si>
  <si>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</si>
  <si>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</si>
  <si>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</si>
  <si>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</si>
  <si>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</si>
  <si>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</si>
  <si>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</si>
  <si>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</si>
  <si>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</si>
  <si>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</si>
  <si>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</si>
  <si>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</si>
  <si>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</si>
  <si>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</si>
  <si>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</si>
  <si>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</si>
  <si>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</si>
  <si>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</si>
  <si>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</si>
  <si>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</si>
  <si>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</si>
  <si>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</si>
  <si>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</si>
  <si>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</si>
  <si>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</si>
  <si>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</si>
  <si>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</si>
  <si>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</si>
  <si>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</si>
  <si>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</si>
  <si>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</si>
  <si>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</si>
  <si>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</si>
  <si>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</si>
  <si>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</si>
  <si>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</si>
  <si>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</si>
  <si>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</si>
  <si>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</si>
  <si>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</si>
  <si>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</si>
  <si>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</si>
  <si>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</si>
  <si>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</si>
  <si>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</si>
  <si>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</si>
  <si>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</si>
  <si>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</si>
  <si>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</si>
  <si>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</si>
  <si>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</si>
  <si>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</si>
  <si>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</si>
  <si>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</si>
  <si>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</si>
  <si>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</si>
  <si>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</si>
  <si>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</si>
  <si>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</si>
  <si>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</si>
  <si>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</si>
  <si>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</si>
  <si>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</si>
  <si>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</si>
  <si>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</si>
  <si>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</si>
  <si>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</si>
  <si>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</si>
  <si>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</si>
  <si>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</si>
  <si>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</si>
  <si>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</si>
  <si>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</si>
  <si>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</si>
  <si>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</si>
  <si>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</si>
  <si>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</si>
  <si>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</si>
  <si>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</si>
  <si>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</si>
  <si>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</si>
  <si>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</si>
  <si>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</si>
  <si>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</si>
  <si>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</si>
  <si>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</si>
  <si>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</si>
  <si>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</si>
  <si>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</si>
  <si>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</si>
  <si>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</si>
  <si>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</si>
  <si>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</si>
  <si>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</si>
  <si>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</si>
  <si>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</si>
  <si>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</si>
  <si>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</si>
  <si>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</si>
  <si>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</si>
  <si>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</si>
  <si>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</si>
  <si>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</si>
  <si>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</si>
  <si>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</si>
  <si>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</si>
  <si>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</si>
  <si>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</si>
  <si>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</si>
  <si>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</si>
  <si>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</si>
  <si>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</si>
  <si>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</si>
  <si>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</si>
  <si>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</si>
  <si>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</si>
  <si>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</si>
  <si>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</si>
  <si>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</si>
  <si>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</si>
  <si>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</si>
  <si>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</si>
  <si>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</si>
  <si>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</si>
  <si>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</si>
  <si>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</si>
  <si>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</si>
  <si>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</si>
  <si>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</si>
  <si>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</si>
  <si>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</si>
  <si>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</si>
  <si>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</si>
  <si>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</si>
  <si>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</si>
  <si>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</si>
  <si>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</si>
  <si>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</si>
  <si>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</si>
  <si>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</si>
  <si>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</si>
  <si>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</si>
  <si>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</si>
  <si>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</si>
  <si>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</si>
  <si>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</si>
  <si>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</si>
  <si>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</si>
  <si>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</si>
  <si>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</si>
  <si>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</si>
  <si>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</si>
  <si>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</si>
  <si>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</si>
  <si>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</si>
  <si>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</si>
  <si>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</si>
  <si>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</si>
  <si>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</si>
  <si>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</si>
  <si>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</si>
  <si>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</si>
  <si>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</si>
  <si>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</si>
  <si>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</si>
  <si>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</si>
  <si>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</si>
  <si>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</si>
  <si>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</si>
  <si>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</si>
  <si>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</si>
  <si>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</si>
  <si>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</si>
  <si>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</si>
  <si>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</si>
  <si>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</si>
  <si>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</si>
  <si>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</si>
  <si>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</si>
  <si>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</si>
  <si>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</si>
  <si>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</si>
  <si>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</si>
  <si>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</si>
  <si>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</si>
  <si>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</si>
  <si>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</si>
  <si>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</si>
  <si>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</si>
  <si>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</si>
  <si>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</si>
  <si>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</si>
  <si>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</si>
  <si>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</si>
  <si>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</si>
  <si>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</si>
  <si>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</si>
  <si>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</si>
  <si>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</si>
  <si>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</si>
  <si>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</si>
  <si>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</si>
  <si>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</si>
  <si>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</si>
  <si>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</si>
  <si>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</si>
  <si>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</si>
  <si>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</si>
  <si>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</si>
  <si>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</si>
  <si>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</si>
  <si>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</si>
  <si>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</si>
  <si>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</si>
  <si>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</si>
  <si>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</si>
  <si>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</si>
  <si>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</si>
  <si>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</si>
  <si>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</si>
  <si>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</si>
  <si>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</si>
  <si>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</si>
  <si>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</si>
  <si>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</si>
  <si>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</si>
  <si>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</si>
  <si>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</si>
  <si>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</si>
  <si>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</si>
  <si>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</si>
  <si>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</si>
  <si>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</si>
  <si>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</si>
  <si>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</si>
  <si>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</si>
  <si>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</si>
  <si>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</si>
  <si>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</si>
  <si>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</si>
  <si>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</si>
  <si>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</si>
  <si>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</si>
  <si>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</si>
  <si>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</si>
  <si>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</si>
  <si>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</si>
  <si>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</si>
  <si>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</si>
  <si>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</si>
  <si>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</si>
  <si>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</si>
  <si>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</si>
  <si>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</si>
  <si>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</si>
  <si>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</si>
  <si>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</si>
  <si>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</si>
  <si>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</si>
  <si>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</si>
  <si>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</si>
  <si>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</si>
  <si>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</si>
  <si>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</si>
  <si>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</si>
  <si>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</si>
  <si>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</si>
  <si>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</si>
  <si>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</si>
  <si>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</si>
  <si>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</si>
  <si>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</si>
  <si>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</si>
  <si>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</si>
  <si>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</si>
  <si>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</si>
  <si>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</si>
  <si>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</si>
  <si>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</si>
  <si>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</si>
  <si>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</si>
  <si>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</si>
  <si>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</si>
  <si>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</si>
  <si>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</si>
  <si>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</si>
  <si>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</si>
  <si>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</si>
  <si>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</si>
  <si>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</si>
  <si>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</si>
  <si>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</si>
  <si>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</si>
  <si>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</si>
  <si>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</si>
  <si>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</si>
  <si>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</si>
  <si>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</si>
  <si>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</si>
  <si>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</si>
  <si>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</si>
  <si>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</si>
  <si>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</si>
  <si>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</si>
  <si>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</si>
  <si>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</si>
  <si>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</si>
  <si>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</si>
  <si>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</si>
  <si>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</si>
  <si>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</si>
  <si>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</si>
  <si>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</si>
  <si>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</si>
  <si>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</si>
  <si>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</si>
  <si>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</si>
  <si>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</si>
  <si>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</si>
  <si>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</si>
  <si>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</si>
  <si>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</si>
  <si>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</si>
  <si>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</si>
  <si>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</si>
  <si>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</si>
  <si>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</si>
  <si>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</si>
  <si>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</si>
  <si>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</si>
  <si>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</si>
  <si>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</si>
  <si>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</si>
  <si>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</si>
  <si>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</si>
  <si>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</si>
  <si>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</si>
  <si>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</si>
  <si>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</si>
  <si>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</si>
  <si>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</si>
  <si>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</si>
  <si>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</si>
  <si>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</si>
  <si>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</si>
  <si>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</si>
  <si>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</si>
  <si>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</si>
  <si>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</si>
  <si>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</si>
  <si>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</si>
  <si>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</si>
  <si>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</si>
  <si>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</si>
  <si>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</si>
  <si>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</si>
  <si>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</si>
  <si>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</si>
  <si>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</si>
  <si>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</si>
  <si>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</si>
  <si>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</si>
  <si>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</si>
  <si>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</si>
  <si>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</si>
  <si>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</si>
  <si>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</si>
  <si>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</si>
  <si>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</si>
  <si>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</si>
  <si>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</si>
  <si>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</si>
  <si>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</si>
  <si>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</si>
  <si>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</si>
  <si>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</si>
  <si>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</si>
  <si>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</si>
  <si>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</si>
  <si>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</si>
  <si>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</si>
  <si>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</si>
  <si>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</si>
  <si>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</si>
  <si>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</si>
  <si>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</si>
  <si>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</si>
  <si>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</si>
  <si>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</si>
  <si>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</si>
  <si>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</si>
  <si>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</si>
  <si>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</si>
  <si>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</si>
  <si>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</si>
  <si>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</si>
  <si>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</si>
  <si>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</si>
  <si>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</si>
  <si>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</si>
  <si>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</si>
  <si>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</si>
  <si>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</si>
  <si>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</si>
  <si>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</si>
  <si>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</si>
  <si>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</si>
  <si>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</si>
  <si>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</si>
  <si>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</si>
  <si>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</si>
  <si>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</si>
  <si>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</si>
  <si>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</si>
  <si>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</si>
  <si>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</si>
  <si>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</si>
  <si>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</si>
  <si>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</si>
  <si>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</si>
  <si>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</si>
  <si>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</si>
  <si>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</si>
  <si>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</si>
  <si>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</si>
  <si>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</si>
  <si>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</si>
  <si>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</si>
  <si>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</si>
  <si>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</si>
  <si>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</si>
  <si>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</si>
  <si>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</si>
  <si>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</si>
  <si>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</si>
  <si>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</si>
  <si>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</si>
  <si>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</si>
  <si>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</si>
  <si>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</si>
  <si>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</si>
  <si>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</si>
  <si>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</si>
  <si>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</si>
  <si>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</si>
  <si>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</si>
  <si>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</si>
  <si>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</si>
  <si>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</si>
  <si>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</si>
  <si>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</si>
  <si>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</si>
  <si>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</si>
  <si>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</si>
  <si>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</si>
  <si>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</si>
  <si>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</si>
  <si>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</si>
  <si>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</si>
  <si>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</si>
  <si>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</si>
  <si>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</si>
  <si>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</si>
  <si>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</si>
  <si>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</si>
  <si>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</si>
  <si>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</si>
  <si>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</si>
  <si>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</si>
  <si>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</si>
  <si>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</si>
  <si>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</si>
  <si>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</si>
  <si>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</si>
  <si>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</si>
  <si>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</si>
  <si>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</si>
  <si>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</si>
  <si>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</si>
  <si>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</si>
  <si>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</si>
  <si>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</si>
  <si>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</si>
  <si>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</si>
  <si>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</si>
  <si>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</si>
  <si>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</si>
  <si>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</si>
  <si>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</si>
  <si>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</si>
  <si>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</si>
  <si>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</si>
  <si>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</si>
  <si>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</si>
  <si>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</si>
  <si>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</si>
  <si>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</si>
  <si>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</si>
  <si>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</si>
  <si>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</si>
  <si>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</si>
  <si>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</si>
  <si>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</si>
  <si>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</si>
  <si>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</si>
  <si>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</si>
  <si>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</si>
  <si>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</si>
  <si>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</si>
  <si>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</si>
  <si>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</si>
  <si>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</si>
  <si>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</si>
  <si>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</si>
  <si>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</si>
  <si>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</si>
  <si>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</si>
  <si>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</si>
  <si>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Interest earned (2253.34)</t>
  </si>
  <si>
    <t>Audit adjustment (40713.66)</t>
  </si>
  <si>
    <t>Reimbursement for TF denied ($29,000) audit adj $12,639.41</t>
  </si>
  <si>
    <t>08/05</t>
  </si>
  <si>
    <t>08/20</t>
  </si>
  <si>
    <t>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</si>
</sst>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359</v>
      </c>
      <c r="C2" s="21">
        <v>359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415697.3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242710.05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144848.5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15323.98+11756.15</f>
        <v>27080.129999999997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10240.530000000001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30.27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442807.7</v>
      </c>
      <c r="G19" s="41">
        <f>SUM(G9:G18)</f>
        <v>10240.530000000001</v>
      </c>
      <c r="H19" s="41">
        <f>SUM(H9:H18)</f>
        <v>144848.5</v>
      </c>
      <c r="I19" s="41">
        <f>SUM(I9:I18)</f>
        <v>0</v>
      </c>
      <c r="J19" s="41">
        <f>SUM(J9:J18)</f>
        <v>242710.05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-132529.46</v>
      </c>
      <c r="G22" s="18">
        <v>4183.53</v>
      </c>
      <c r="H22" s="18">
        <v>135795.63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36270.78-1707.76+692.54+10836.51</f>
        <v>46092.07</v>
      </c>
      <c r="G24" s="18">
        <v>6057</v>
      </c>
      <c r="H24" s="18">
        <v>212.49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140216.49</v>
      </c>
      <c r="G28" s="18"/>
      <c r="H28" s="18">
        <v>8840.3799999999992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-864.7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52914.400000000009</v>
      </c>
      <c r="G32" s="41">
        <f>SUM(G22:G31)</f>
        <v>10240.529999999999</v>
      </c>
      <c r="H32" s="41">
        <f>SUM(H22:H31)</f>
        <v>144848.5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242710.05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339893.3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389893.3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242710.05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442807.7</v>
      </c>
      <c r="G52" s="41">
        <f>G51+G32</f>
        <v>10240.529999999999</v>
      </c>
      <c r="H52" s="41">
        <f>H51+H32</f>
        <v>144848.5</v>
      </c>
      <c r="I52" s="41">
        <f>I51+I32</f>
        <v>0</v>
      </c>
      <c r="J52" s="41">
        <f>J51+J32</f>
        <v>242710.05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5300480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5300480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17451.330000000002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17451.330000000002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-726.78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89703.61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34447.49+1559.02</f>
        <v>36006.509999999995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35279.729999999996</v>
      </c>
      <c r="G111" s="41">
        <f>SUM(G96:G110)</f>
        <v>89703.61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5353211.0600000005</v>
      </c>
      <c r="G112" s="41">
        <f>G60+G111</f>
        <v>89703.61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2928846.89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840340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3769186.89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177046.78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8303.93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6209.8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3623.6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10240.530000000001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191560.50999999998</v>
      </c>
      <c r="G136" s="41">
        <f>SUM(G123:G135)</f>
        <v>13864.130000000001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3960747.4</v>
      </c>
      <c r="G140" s="41">
        <f>G121+SUM(G136:G137)</f>
        <v>13864.130000000001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3354.36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>
        <f>35361.86+25861.28+45645.45</f>
        <v>106868.59</v>
      </c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3354.36</v>
      </c>
      <c r="G147" s="41">
        <f>SUM(G145:G146)</f>
        <v>0</v>
      </c>
      <c r="H147" s="41">
        <f>SUM(H145:H146)</f>
        <v>106868.59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22180.64+58.88+214030.36</f>
        <v>236269.87999999998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11947.26+3789.94+10710+29607.72+5247.57+10165.45+10567+7751.85+11120.4+6466.78</f>
        <v>107373.97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123234.12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124698.76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124698.76</v>
      </c>
      <c r="G162" s="41">
        <f>SUM(G150:G161)</f>
        <v>123234.12</v>
      </c>
      <c r="H162" s="41">
        <f>SUM(H150:H161)</f>
        <v>343643.85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128053.12</v>
      </c>
      <c r="G169" s="41">
        <f>G147+G162+SUM(G163:G168)</f>
        <v>123234.12</v>
      </c>
      <c r="H169" s="41">
        <f>H147+H162+SUM(H163:H168)</f>
        <v>450512.43999999994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47541.4</v>
      </c>
      <c r="H179" s="18"/>
      <c r="I179" s="18"/>
      <c r="J179" s="18">
        <v>90000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47541.4</v>
      </c>
      <c r="H183" s="41">
        <f>SUM(H179:H182)</f>
        <v>0</v>
      </c>
      <c r="I183" s="41">
        <f>SUM(I179:I182)</f>
        <v>0</v>
      </c>
      <c r="J183" s="41">
        <f>SUM(J179:J182)</f>
        <v>90000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47541.4</v>
      </c>
      <c r="H192" s="41">
        <f>+H183+SUM(H188:H191)</f>
        <v>0</v>
      </c>
      <c r="I192" s="41">
        <f>I177+I183+SUM(I188:I191)</f>
        <v>0</v>
      </c>
      <c r="J192" s="41">
        <f>J183</f>
        <v>90000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9442011.5800000001</v>
      </c>
      <c r="G193" s="47">
        <f>G112+G140+G169+G192</f>
        <v>274343.26</v>
      </c>
      <c r="H193" s="47">
        <f>H112+H140+H169+H192</f>
        <v>450512.43999999994</v>
      </c>
      <c r="I193" s="47">
        <f>I112+I140+I169+I192</f>
        <v>0</v>
      </c>
      <c r="J193" s="47">
        <f>J112+J140+J192</f>
        <v>90000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903500.29</v>
      </c>
      <c r="G197" s="18">
        <f>449295.39+14336.55</f>
        <v>463631.94</v>
      </c>
      <c r="H197" s="18">
        <v>8522.3700000000008</v>
      </c>
      <c r="I197" s="18">
        <v>34618.050000000003</v>
      </c>
      <c r="J197" s="18">
        <v>7164.2</v>
      </c>
      <c r="K197" s="18"/>
      <c r="L197" s="19">
        <f>SUM(F197:K197)</f>
        <v>1417436.85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8281.11+127258+244927.42+4927.5+20114</f>
        <v>405508.03</v>
      </c>
      <c r="G198" s="18">
        <f>205765.75+6434.52</f>
        <v>212200.27</v>
      </c>
      <c r="H198" s="18">
        <f>559146.21+4416.73</f>
        <v>563562.93999999994</v>
      </c>
      <c r="I198" s="18">
        <v>1062.18</v>
      </c>
      <c r="J198" s="18"/>
      <c r="K198" s="18"/>
      <c r="L198" s="19">
        <f>SUM(F198:K198)</f>
        <v>1182333.42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1520+18945</f>
        <v>20465</v>
      </c>
      <c r="G200" s="18">
        <f>4517.69+324.73</f>
        <v>4842.42</v>
      </c>
      <c r="H200" s="18">
        <v>8153.48</v>
      </c>
      <c r="I200" s="18"/>
      <c r="J200" s="18"/>
      <c r="K200" s="18"/>
      <c r="L200" s="19">
        <f>SUM(F200:K200)</f>
        <v>33460.899999999994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40932+50792</f>
        <v>91724</v>
      </c>
      <c r="G202" s="18">
        <f>13691.52+16030.8+1455.46</f>
        <v>31177.78</v>
      </c>
      <c r="H202" s="18">
        <f>4867.8+254</f>
        <v>5121.8</v>
      </c>
      <c r="I202" s="18">
        <f>442.24+179.64</f>
        <v>621.88</v>
      </c>
      <c r="J202" s="18">
        <v>700</v>
      </c>
      <c r="K202" s="18">
        <v>169</v>
      </c>
      <c r="L202" s="19">
        <f t="shared" ref="L202:L208" si="0">SUM(F202:K202)</f>
        <v>129514.46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46517</v>
      </c>
      <c r="G203" s="18">
        <f>5402+27699.67+738.12</f>
        <v>33839.79</v>
      </c>
      <c r="H203" s="18">
        <f>5401.47+305</f>
        <v>5706.47</v>
      </c>
      <c r="I203" s="18">
        <v>6385.76</v>
      </c>
      <c r="J203" s="18"/>
      <c r="K203" s="18"/>
      <c r="L203" s="19">
        <f t="shared" si="0"/>
        <v>92449.02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4701.3599999999997</v>
      </c>
      <c r="G204" s="18">
        <f>359.68+74.6</f>
        <v>434.28</v>
      </c>
      <c r="H204" s="18">
        <f>13583.17+139954</f>
        <v>153537.17000000001</v>
      </c>
      <c r="I204" s="18"/>
      <c r="J204" s="18"/>
      <c r="K204" s="18">
        <v>2686.01</v>
      </c>
      <c r="L204" s="19">
        <f t="shared" si="0"/>
        <v>161358.82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197077.77</v>
      </c>
      <c r="G205" s="18">
        <f>99679.01+3127.19</f>
        <v>102806.2</v>
      </c>
      <c r="H205" s="18">
        <v>7973.27</v>
      </c>
      <c r="I205" s="18">
        <v>4178.1899999999996</v>
      </c>
      <c r="J205" s="18"/>
      <c r="K205" s="18">
        <v>512</v>
      </c>
      <c r="L205" s="19">
        <f t="shared" si="0"/>
        <v>312547.43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84084.27</v>
      </c>
      <c r="G207" s="18">
        <f>35330.45+1334.23</f>
        <v>36664.68</v>
      </c>
      <c r="H207" s="18">
        <v>113994.99</v>
      </c>
      <c r="I207" s="18">
        <v>60167.57</v>
      </c>
      <c r="J207" s="18">
        <v>2011.99</v>
      </c>
      <c r="K207" s="18">
        <v>60</v>
      </c>
      <c r="L207" s="19">
        <f t="shared" si="0"/>
        <v>296983.5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65349.74</v>
      </c>
      <c r="G208" s="18">
        <f>36310.43+1036.96</f>
        <v>37347.39</v>
      </c>
      <c r="H208" s="18">
        <f>62047.53+27374.5</f>
        <v>89422.03</v>
      </c>
      <c r="I208" s="18">
        <v>25465.68</v>
      </c>
      <c r="J208" s="18"/>
      <c r="K208" s="18">
        <v>1608.45</v>
      </c>
      <c r="L208" s="19">
        <f t="shared" si="0"/>
        <v>219193.29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10121.42</v>
      </c>
      <c r="I209" s="18">
        <v>6920.72</v>
      </c>
      <c r="J209" s="18">
        <v>3300</v>
      </c>
      <c r="K209" s="18"/>
      <c r="L209" s="19">
        <f>SUM(F209:K209)</f>
        <v>20342.14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1818927.4600000002</v>
      </c>
      <c r="G211" s="41">
        <f t="shared" si="1"/>
        <v>922944.75000000012</v>
      </c>
      <c r="H211" s="41">
        <f t="shared" si="1"/>
        <v>966115.94000000006</v>
      </c>
      <c r="I211" s="41">
        <f t="shared" si="1"/>
        <v>139420.03</v>
      </c>
      <c r="J211" s="41">
        <f t="shared" si="1"/>
        <v>13176.19</v>
      </c>
      <c r="K211" s="41">
        <f t="shared" si="1"/>
        <v>5035.46</v>
      </c>
      <c r="L211" s="41">
        <f t="shared" si="1"/>
        <v>3865619.83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498593.13+5852.4</f>
        <v>504445.53</v>
      </c>
      <c r="G215" s="18">
        <f>21272.84+239308.03</f>
        <v>260580.87</v>
      </c>
      <c r="H215" s="18">
        <v>10444.52</v>
      </c>
      <c r="I215" s="18">
        <v>20872.400000000001</v>
      </c>
      <c r="J215" s="18">
        <v>2998.89</v>
      </c>
      <c r="K215" s="18">
        <v>185</v>
      </c>
      <c r="L215" s="19">
        <f>SUM(F215:K215)</f>
        <v>799527.21000000008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6102.45+81117+4388.28+60846.26+2467.5+770</f>
        <v>155691.49</v>
      </c>
      <c r="G216" s="18">
        <f>7282.03+108315.42</f>
        <v>115597.45</v>
      </c>
      <c r="H216" s="18">
        <f>152022.63+6601.93</f>
        <v>158624.56</v>
      </c>
      <c r="I216" s="18">
        <v>2329.35</v>
      </c>
      <c r="J216" s="18">
        <v>211.09</v>
      </c>
      <c r="K216" s="18"/>
      <c r="L216" s="19">
        <f>SUM(F216:K216)</f>
        <v>432453.94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8045.5+10599.99+14595+3290+20521.58</f>
        <v>57052.07</v>
      </c>
      <c r="G218" s="18">
        <f>1832.54+21061.97</f>
        <v>22894.510000000002</v>
      </c>
      <c r="H218" s="18">
        <v>4799.72</v>
      </c>
      <c r="I218" s="18">
        <v>1898.76</v>
      </c>
      <c r="J218" s="18">
        <v>2263.9</v>
      </c>
      <c r="K218" s="18">
        <v>355</v>
      </c>
      <c r="L218" s="19">
        <f>SUM(F218:K218)</f>
        <v>89263.959999999992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42313.21+20396.76</f>
        <v>62709.97</v>
      </c>
      <c r="G220" s="18">
        <f>2928.36+29138.92+11430.85</f>
        <v>43498.13</v>
      </c>
      <c r="H220" s="18">
        <f>2793.2</f>
        <v>2793.2</v>
      </c>
      <c r="I220" s="18">
        <f>374.2+399.84</f>
        <v>774.04</v>
      </c>
      <c r="J220" s="18"/>
      <c r="K220" s="18">
        <v>169</v>
      </c>
      <c r="L220" s="19">
        <f t="shared" ref="L220:L226" si="2">SUM(F220:K220)</f>
        <v>109944.34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20838.16</v>
      </c>
      <c r="G221" s="18">
        <f>971.83+1370.4+11599.27</f>
        <v>13941.5</v>
      </c>
      <c r="H221" s="18">
        <f>1610.24+189</f>
        <v>1799.24</v>
      </c>
      <c r="I221" s="18">
        <v>2734.24</v>
      </c>
      <c r="J221" s="18"/>
      <c r="K221" s="18"/>
      <c r="L221" s="19">
        <f t="shared" si="2"/>
        <v>39313.14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6774.58</v>
      </c>
      <c r="G222" s="18">
        <f>126.43+518.35</f>
        <v>644.78</v>
      </c>
      <c r="H222" s="18">
        <f>20417.59+242181</f>
        <v>262598.59000000003</v>
      </c>
      <c r="I222" s="18"/>
      <c r="J222" s="18"/>
      <c r="K222" s="18">
        <v>3325</v>
      </c>
      <c r="L222" s="19">
        <f t="shared" si="2"/>
        <v>273342.95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67449.61</v>
      </c>
      <c r="G223" s="18">
        <f>3106.05+39747.61</f>
        <v>42853.66</v>
      </c>
      <c r="H223" s="18">
        <v>4113.41</v>
      </c>
      <c r="I223" s="18">
        <v>2736.34</v>
      </c>
      <c r="J223" s="18">
        <v>679.95</v>
      </c>
      <c r="K223" s="18">
        <v>805</v>
      </c>
      <c r="L223" s="19">
        <f t="shared" si="2"/>
        <v>118637.97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115509.8*0.4</f>
        <v>46203.920000000006</v>
      </c>
      <c r="G225" s="18">
        <f>(2155.74+54589.52)*0.4</f>
        <v>22698.103999999999</v>
      </c>
      <c r="H225" s="18">
        <f>121230.54*0.4</f>
        <v>48492.216</v>
      </c>
      <c r="I225" s="18">
        <f>103391.33*0.4</f>
        <v>41356.532000000007</v>
      </c>
      <c r="J225" s="18">
        <f>3117.9*0.4</f>
        <v>1247.1600000000001</v>
      </c>
      <c r="K225" s="18">
        <f>90*0.4</f>
        <v>36</v>
      </c>
      <c r="L225" s="19">
        <f t="shared" si="2"/>
        <v>160033.932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(138218.97+7792.36)*0.4</f>
        <v>58404.531999999999</v>
      </c>
      <c r="G226" s="18">
        <f>(2724.99+61640.53+827.81)*0.4</f>
        <v>26077.331999999999</v>
      </c>
      <c r="H226" s="18">
        <f>(95840.2+1905)*0.4</f>
        <v>39098.080000000002</v>
      </c>
      <c r="I226" s="18">
        <f>35053.5*0.4</f>
        <v>14021.400000000001</v>
      </c>
      <c r="J226" s="18"/>
      <c r="K226" s="18">
        <f>2203.75*0.4</f>
        <v>881.5</v>
      </c>
      <c r="L226" s="19">
        <f t="shared" si="2"/>
        <v>138482.84400000001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6380.44</v>
      </c>
      <c r="I227" s="18">
        <v>1708.39</v>
      </c>
      <c r="J227" s="18"/>
      <c r="K227" s="18"/>
      <c r="L227" s="19">
        <f>SUM(F227:K227)</f>
        <v>8088.83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979569.86199999996</v>
      </c>
      <c r="G229" s="41">
        <f>SUM(G215:G228)</f>
        <v>548786.33600000001</v>
      </c>
      <c r="H229" s="41">
        <f>SUM(H215:H228)</f>
        <v>539143.97599999991</v>
      </c>
      <c r="I229" s="41">
        <f>SUM(I215:I228)</f>
        <v>88431.452000000005</v>
      </c>
      <c r="J229" s="41">
        <f>SUM(J215:J228)</f>
        <v>7400.99</v>
      </c>
      <c r="K229" s="41">
        <f t="shared" si="3"/>
        <v>5756.5</v>
      </c>
      <c r="L229" s="41">
        <f t="shared" si="3"/>
        <v>2169089.1159999999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616036.62+1000+18367.4</f>
        <v>635404.02</v>
      </c>
      <c r="G233" s="18">
        <v>304815.89</v>
      </c>
      <c r="H233" s="18">
        <v>24965.68</v>
      </c>
      <c r="I233" s="18">
        <v>32832.31</v>
      </c>
      <c r="J233" s="18">
        <v>4883.2</v>
      </c>
      <c r="K233" s="18">
        <v>923.95</v>
      </c>
      <c r="L233" s="19">
        <f>SUM(F233:K233)</f>
        <v>1003825.05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9153.66+91525+4388.28+126778.9+2651.25</f>
        <v>234497.09</v>
      </c>
      <c r="G234" s="18">
        <v>130059.07</v>
      </c>
      <c r="H234" s="18">
        <v>283636.28999999998</v>
      </c>
      <c r="I234" s="18">
        <v>1207.1400000000001</v>
      </c>
      <c r="J234" s="18">
        <v>6180.14</v>
      </c>
      <c r="K234" s="18"/>
      <c r="L234" s="19">
        <f>SUM(F234:K234)</f>
        <v>655579.73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47834.2</v>
      </c>
      <c r="G235" s="18">
        <f>892.72+15903.73</f>
        <v>16796.45</v>
      </c>
      <c r="H235" s="18">
        <v>15147.69</v>
      </c>
      <c r="I235" s="18"/>
      <c r="J235" s="18"/>
      <c r="K235" s="18">
        <v>59</v>
      </c>
      <c r="L235" s="19">
        <f>SUM(F235:K235)</f>
        <v>79837.34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1600+19800.01+19740</f>
        <v>41140.009999999995</v>
      </c>
      <c r="G236" s="18">
        <v>7526.92</v>
      </c>
      <c r="H236" s="18">
        <v>16219.29</v>
      </c>
      <c r="I236" s="18">
        <v>4573.67</v>
      </c>
      <c r="J236" s="18">
        <v>9051.42</v>
      </c>
      <c r="K236" s="18">
        <v>2190</v>
      </c>
      <c r="L236" s="19">
        <f>SUM(F236:K236)</f>
        <v>80701.31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63603.09+30595.24</f>
        <v>94198.33</v>
      </c>
      <c r="G238" s="18">
        <f>43833.33+17172.62</f>
        <v>61005.95</v>
      </c>
      <c r="H238" s="18">
        <v>7039</v>
      </c>
      <c r="I238" s="18">
        <f>1023.43+327.43</f>
        <v>1350.86</v>
      </c>
      <c r="J238" s="18">
        <v>195</v>
      </c>
      <c r="K238" s="18">
        <v>109</v>
      </c>
      <c r="L238" s="19">
        <f t="shared" ref="L238:L244" si="4">SUM(F238:K238)</f>
        <v>163898.13999999998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31234.84</v>
      </c>
      <c r="G239" s="18">
        <f>14685.89+17420.26</f>
        <v>32106.149999999998</v>
      </c>
      <c r="H239" s="18">
        <v>810.95</v>
      </c>
      <c r="I239" s="18">
        <f>6621.23</f>
        <v>6621.23</v>
      </c>
      <c r="J239" s="18">
        <v>1925.16</v>
      </c>
      <c r="K239" s="18"/>
      <c r="L239" s="19">
        <f t="shared" si="4"/>
        <v>72698.33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98980.2</v>
      </c>
      <c r="G241" s="18">
        <v>59244.53</v>
      </c>
      <c r="H241" s="18">
        <v>7462.72</v>
      </c>
      <c r="I241" s="18">
        <v>2335.0300000000002</v>
      </c>
      <c r="J241" s="18">
        <v>1663.98</v>
      </c>
      <c r="K241" s="18">
        <v>2401.31</v>
      </c>
      <c r="L241" s="19">
        <f t="shared" si="4"/>
        <v>172087.77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115509.8*0.6</f>
        <v>69305.88</v>
      </c>
      <c r="G243" s="18">
        <f>56745.26*0.6</f>
        <v>34047.156000000003</v>
      </c>
      <c r="H243" s="18">
        <f>(121230.54*0.6)+0.09</f>
        <v>72738.41399999999</v>
      </c>
      <c r="I243" s="18">
        <f>103391.33*0.6</f>
        <v>62034.797999999995</v>
      </c>
      <c r="J243" s="18">
        <f>3117.9*0.6</f>
        <v>1870.74</v>
      </c>
      <c r="K243" s="18">
        <f>90*0.6</f>
        <v>54</v>
      </c>
      <c r="L243" s="19">
        <f>SUM(F243:K243)</f>
        <v>240050.98800000001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146011.33*0.6</f>
        <v>87606.797999999995</v>
      </c>
      <c r="G244" s="18">
        <f>65193.33*0.6</f>
        <v>39115.998</v>
      </c>
      <c r="H244" s="18">
        <f>97745.2*0.6</f>
        <v>58647.119999999995</v>
      </c>
      <c r="I244" s="18">
        <f>35053.5*0.6</f>
        <v>21032.1</v>
      </c>
      <c r="J244" s="18"/>
      <c r="K244" s="18">
        <f>2203.75*0.6</f>
        <v>1322.25</v>
      </c>
      <c r="L244" s="19">
        <f t="shared" si="4"/>
        <v>207724.266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6550.56</v>
      </c>
      <c r="I245" s="18"/>
      <c r="J245" s="18"/>
      <c r="K245" s="18"/>
      <c r="L245" s="19">
        <f>SUM(F245:K245)</f>
        <v>6550.56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1340201.3679999998</v>
      </c>
      <c r="G247" s="41">
        <f t="shared" si="5"/>
        <v>684718.11400000006</v>
      </c>
      <c r="H247" s="41">
        <f t="shared" si="5"/>
        <v>493217.71399999992</v>
      </c>
      <c r="I247" s="41">
        <f t="shared" si="5"/>
        <v>131987.13799999998</v>
      </c>
      <c r="J247" s="41">
        <f t="shared" si="5"/>
        <v>25769.640000000003</v>
      </c>
      <c r="K247" s="41">
        <f t="shared" si="5"/>
        <v>7059.51</v>
      </c>
      <c r="L247" s="41">
        <f t="shared" si="5"/>
        <v>2682953.4839999997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59935.360000000001</v>
      </c>
      <c r="I255" s="18"/>
      <c r="J255" s="18"/>
      <c r="K255" s="18"/>
      <c r="L255" s="19">
        <f t="shared" si="6"/>
        <v>59935.360000000001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59935.360000000001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59935.360000000001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4138698.69</v>
      </c>
      <c r="G257" s="41">
        <f t="shared" si="8"/>
        <v>2156449.2000000002</v>
      </c>
      <c r="H257" s="41">
        <f t="shared" si="8"/>
        <v>2058412.99</v>
      </c>
      <c r="I257" s="41">
        <f t="shared" si="8"/>
        <v>359838.62</v>
      </c>
      <c r="J257" s="41">
        <f t="shared" si="8"/>
        <v>46346.820000000007</v>
      </c>
      <c r="K257" s="41">
        <f t="shared" si="8"/>
        <v>17851.47</v>
      </c>
      <c r="L257" s="41">
        <f t="shared" si="8"/>
        <v>8777597.7899999991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275000</v>
      </c>
      <c r="L260" s="19">
        <f>SUM(F260:K260)</f>
        <v>275000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60600.5</v>
      </c>
      <c r="L261" s="19">
        <f>SUM(F261:K261)</f>
        <v>60600.5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47541.4</v>
      </c>
      <c r="L263" s="19">
        <f>SUM(F263:K263)</f>
        <v>47541.4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90000</v>
      </c>
      <c r="L266" s="19">
        <f t="shared" si="9"/>
        <v>90000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473141.9</v>
      </c>
      <c r="L270" s="41">
        <f t="shared" si="9"/>
        <v>473141.9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4138698.69</v>
      </c>
      <c r="G271" s="42">
        <f t="shared" si="11"/>
        <v>2156449.2000000002</v>
      </c>
      <c r="H271" s="42">
        <f t="shared" si="11"/>
        <v>2058412.99</v>
      </c>
      <c r="I271" s="42">
        <f t="shared" si="11"/>
        <v>359838.62</v>
      </c>
      <c r="J271" s="42">
        <f t="shared" si="11"/>
        <v>46346.820000000007</v>
      </c>
      <c r="K271" s="42">
        <f t="shared" si="11"/>
        <v>490993.37</v>
      </c>
      <c r="L271" s="42">
        <f t="shared" si="11"/>
        <v>9250739.6899999995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43127.28</v>
      </c>
      <c r="G276" s="18">
        <v>18684.05</v>
      </c>
      <c r="H276" s="18">
        <v>1380</v>
      </c>
      <c r="I276" s="18">
        <v>14824.24</v>
      </c>
      <c r="J276" s="18">
        <v>42240.480000000003</v>
      </c>
      <c r="K276" s="18"/>
      <c r="L276" s="19">
        <f>SUM(F276:K276)</f>
        <v>120256.05000000002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7221+3124</f>
        <v>10345</v>
      </c>
      <c r="G282" s="18">
        <f>1384.78+893.98</f>
        <v>2278.7600000000002</v>
      </c>
      <c r="H282" s="18">
        <f>11073.45+7079.08</f>
        <v>18152.53</v>
      </c>
      <c r="I282" s="18">
        <f>378.65+439.75</f>
        <v>818.4</v>
      </c>
      <c r="J282" s="18"/>
      <c r="K282" s="18"/>
      <c r="L282" s="19">
        <f t="shared" si="12"/>
        <v>31594.690000000002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6112.23</v>
      </c>
      <c r="L285" s="19">
        <f t="shared" si="12"/>
        <v>6112.23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421.09</v>
      </c>
      <c r="I287" s="18"/>
      <c r="J287" s="18"/>
      <c r="K287" s="18"/>
      <c r="L287" s="19">
        <f t="shared" si="12"/>
        <v>421.09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53472.28</v>
      </c>
      <c r="G290" s="42">
        <f t="shared" si="13"/>
        <v>20962.809999999998</v>
      </c>
      <c r="H290" s="42">
        <f t="shared" si="13"/>
        <v>19953.62</v>
      </c>
      <c r="I290" s="42">
        <f t="shared" si="13"/>
        <v>15642.64</v>
      </c>
      <c r="J290" s="42">
        <f t="shared" si="13"/>
        <v>42240.480000000003</v>
      </c>
      <c r="K290" s="42">
        <f t="shared" si="13"/>
        <v>6112.23</v>
      </c>
      <c r="L290" s="41">
        <f t="shared" si="13"/>
        <v>158384.06000000003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65757.899999999994</v>
      </c>
      <c r="G295" s="18">
        <v>23129.21</v>
      </c>
      <c r="H295" s="18">
        <f>304.22+79.62</f>
        <v>383.84000000000003</v>
      </c>
      <c r="I295" s="18">
        <v>7850.98</v>
      </c>
      <c r="J295" s="18">
        <v>22152.240000000002</v>
      </c>
      <c r="K295" s="18"/>
      <c r="L295" s="19">
        <f>SUM(F295:K295)</f>
        <v>119274.16999999998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f>2363.44</f>
        <v>2363.44</v>
      </c>
      <c r="I300" s="18"/>
      <c r="J300" s="18"/>
      <c r="K300" s="18"/>
      <c r="L300" s="19">
        <f t="shared" ref="L300:L306" si="14">SUM(F300:K300)</f>
        <v>2363.44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f>175+436</f>
        <v>611</v>
      </c>
      <c r="I301" s="18">
        <v>787.74</v>
      </c>
      <c r="J301" s="18"/>
      <c r="K301" s="18"/>
      <c r="L301" s="19">
        <f t="shared" si="14"/>
        <v>1398.74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1273.8599999999999</v>
      </c>
      <c r="G306" s="18">
        <v>80.3</v>
      </c>
      <c r="H306" s="18">
        <v>18.059999999999999</v>
      </c>
      <c r="I306" s="18"/>
      <c r="J306" s="18"/>
      <c r="K306" s="18"/>
      <c r="L306" s="19">
        <f t="shared" si="14"/>
        <v>1372.2199999999998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67031.759999999995</v>
      </c>
      <c r="G309" s="42">
        <f t="shared" si="15"/>
        <v>23209.51</v>
      </c>
      <c r="H309" s="42">
        <f t="shared" si="15"/>
        <v>3376.34</v>
      </c>
      <c r="I309" s="42">
        <f t="shared" si="15"/>
        <v>8638.7199999999993</v>
      </c>
      <c r="J309" s="42">
        <f t="shared" si="15"/>
        <v>22152.240000000002</v>
      </c>
      <c r="K309" s="42">
        <f t="shared" si="15"/>
        <v>0</v>
      </c>
      <c r="L309" s="41">
        <f t="shared" si="15"/>
        <v>124408.56999999999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13795.25+28522.89</f>
        <v>42318.14</v>
      </c>
      <c r="G314" s="18">
        <f>3060.12+12296.49</f>
        <v>15356.61</v>
      </c>
      <c r="H314" s="18">
        <f>5864.82+205.63+86.63</f>
        <v>6157.08</v>
      </c>
      <c r="I314" s="18">
        <f>10538.83+811.06</f>
        <v>11349.89</v>
      </c>
      <c r="J314" s="18">
        <v>9494.2800000000007</v>
      </c>
      <c r="K314" s="18"/>
      <c r="L314" s="19">
        <f>SUM(F314:K314)</f>
        <v>84676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v>4725.34</v>
      </c>
      <c r="J317" s="18"/>
      <c r="K317" s="18"/>
      <c r="L317" s="19">
        <f>SUM(F317:K317)</f>
        <v>4725.34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763.44</f>
        <v>763.44</v>
      </c>
      <c r="I319" s="18">
        <v>40.520000000000003</v>
      </c>
      <c r="J319" s="18"/>
      <c r="K319" s="18"/>
      <c r="L319" s="19">
        <f t="shared" ref="L319:L325" si="16">SUM(F319:K319)</f>
        <v>803.96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6365</v>
      </c>
      <c r="G320" s="18">
        <v>1459.41</v>
      </c>
      <c r="H320" s="18">
        <f>30499.83+31175.1+3820</f>
        <v>65494.93</v>
      </c>
      <c r="I320" s="18">
        <f>25.95+58.88</f>
        <v>84.83</v>
      </c>
      <c r="J320" s="18"/>
      <c r="K320" s="18"/>
      <c r="L320" s="19">
        <f t="shared" si="16"/>
        <v>73404.17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2007.5</v>
      </c>
      <c r="L323" s="19">
        <f t="shared" si="16"/>
        <v>2007.5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f>2069.47</f>
        <v>2069.4699999999998</v>
      </c>
      <c r="G325" s="18">
        <v>33.369999999999997</v>
      </c>
      <c r="H325" s="18"/>
      <c r="I325" s="18"/>
      <c r="J325" s="18"/>
      <c r="K325" s="18"/>
      <c r="L325" s="19">
        <f t="shared" si="16"/>
        <v>2102.8399999999997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50752.61</v>
      </c>
      <c r="G328" s="42">
        <f t="shared" si="17"/>
        <v>16849.39</v>
      </c>
      <c r="H328" s="42">
        <f t="shared" si="17"/>
        <v>72415.45</v>
      </c>
      <c r="I328" s="42">
        <f t="shared" si="17"/>
        <v>16200.58</v>
      </c>
      <c r="J328" s="42">
        <f t="shared" si="17"/>
        <v>9494.2800000000007</v>
      </c>
      <c r="K328" s="42">
        <f t="shared" si="17"/>
        <v>2007.5</v>
      </c>
      <c r="L328" s="41">
        <f t="shared" si="17"/>
        <v>167719.81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171256.65</v>
      </c>
      <c r="G338" s="41">
        <f t="shared" si="20"/>
        <v>61021.709999999992</v>
      </c>
      <c r="H338" s="41">
        <f t="shared" si="20"/>
        <v>95745.41</v>
      </c>
      <c r="I338" s="41">
        <f t="shared" si="20"/>
        <v>40481.94</v>
      </c>
      <c r="J338" s="41">
        <f t="shared" si="20"/>
        <v>73887</v>
      </c>
      <c r="K338" s="41">
        <f t="shared" si="20"/>
        <v>8119.73</v>
      </c>
      <c r="L338" s="41">
        <f t="shared" si="20"/>
        <v>450512.44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171256.65</v>
      </c>
      <c r="G352" s="41">
        <f>G338</f>
        <v>61021.709999999992</v>
      </c>
      <c r="H352" s="41">
        <f>H338</f>
        <v>95745.41</v>
      </c>
      <c r="I352" s="41">
        <f>I338</f>
        <v>40481.94</v>
      </c>
      <c r="J352" s="41">
        <f>J338</f>
        <v>73887</v>
      </c>
      <c r="K352" s="47">
        <f>K338+K351</f>
        <v>8119.73</v>
      </c>
      <c r="L352" s="41">
        <f>L338+L351</f>
        <v>450512.44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270157+2109.26</f>
        <v>272266.26</v>
      </c>
      <c r="I358" s="18">
        <v>41</v>
      </c>
      <c r="J358" s="18">
        <f>1260+776</f>
        <v>2036</v>
      </c>
      <c r="K358" s="18"/>
      <c r="L358" s="13">
        <f>SUM(F358:K358)</f>
        <v>274343.26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272266.26</v>
      </c>
      <c r="I362" s="47">
        <f t="shared" si="22"/>
        <v>41</v>
      </c>
      <c r="J362" s="47">
        <f t="shared" si="22"/>
        <v>2036</v>
      </c>
      <c r="K362" s="47">
        <f t="shared" si="22"/>
        <v>0</v>
      </c>
      <c r="L362" s="47">
        <f t="shared" si="22"/>
        <v>274343.26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41</v>
      </c>
      <c r="G368" s="63"/>
      <c r="H368" s="63"/>
      <c r="I368" s="56">
        <f>SUM(F368:H368)</f>
        <v>41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41</v>
      </c>
      <c r="G369" s="47">
        <f>SUM(G367:G368)</f>
        <v>0</v>
      </c>
      <c r="H369" s="47">
        <f>SUM(H367:H368)</f>
        <v>0</v>
      </c>
      <c r="I369" s="47">
        <f>SUM(I367:I368)</f>
        <v>41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50000</v>
      </c>
      <c r="H389" s="18"/>
      <c r="I389" s="18"/>
      <c r="J389" s="24" t="s">
        <v>289</v>
      </c>
      <c r="K389" s="24" t="s">
        <v>289</v>
      </c>
      <c r="L389" s="56">
        <f t="shared" si="25"/>
        <v>50000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15000</v>
      </c>
      <c r="H390" s="18"/>
      <c r="I390" s="18"/>
      <c r="J390" s="24" t="s">
        <v>289</v>
      </c>
      <c r="K390" s="24" t="s">
        <v>289</v>
      </c>
      <c r="L390" s="56">
        <f t="shared" si="25"/>
        <v>15000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65000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65000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/>
      <c r="I397" s="18"/>
      <c r="J397" s="24" t="s">
        <v>289</v>
      </c>
      <c r="K397" s="24" t="s">
        <v>289</v>
      </c>
      <c r="L397" s="56">
        <f t="shared" si="26"/>
        <v>25000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90000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f>58942.86</f>
        <v>58942.86</v>
      </c>
      <c r="I422" s="18"/>
      <c r="J422" s="18"/>
      <c r="K422" s="18"/>
      <c r="L422" s="56">
        <f t="shared" si="29"/>
        <v>58942.86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f>44070.81+14816</f>
        <v>58886.81</v>
      </c>
      <c r="I426" s="18"/>
      <c r="J426" s="18"/>
      <c r="K426" s="18"/>
      <c r="L426" s="56">
        <f t="shared" si="29"/>
        <v>58886.81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117829.67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117829.67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117829.67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117829.67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84574.21</f>
        <v>84574.21</v>
      </c>
      <c r="G440" s="18">
        <f>2001.88+26240.49+2004.35+127889.12</f>
        <v>158135.84</v>
      </c>
      <c r="H440" s="18"/>
      <c r="I440" s="56">
        <f t="shared" si="33"/>
        <v>242710.05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84574.21</v>
      </c>
      <c r="G446" s="13">
        <f>SUM(G439:G445)</f>
        <v>158135.84</v>
      </c>
      <c r="H446" s="13">
        <f>SUM(H439:H445)</f>
        <v>0</v>
      </c>
      <c r="I446" s="13">
        <f>SUM(I439:I445)</f>
        <v>242710.05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84574.21</v>
      </c>
      <c r="G459" s="18">
        <v>158135.84</v>
      </c>
      <c r="H459" s="18"/>
      <c r="I459" s="56">
        <f t="shared" si="34"/>
        <v>242710.05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84574.21</v>
      </c>
      <c r="G460" s="83">
        <f>SUM(G454:G459)</f>
        <v>158135.84</v>
      </c>
      <c r="H460" s="83">
        <f>SUM(H454:H459)</f>
        <v>0</v>
      </c>
      <c r="I460" s="83">
        <f>SUM(I454:I459)</f>
        <v>242710.05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84574.21</v>
      </c>
      <c r="G461" s="42">
        <f>G452+G460</f>
        <v>158135.84</v>
      </c>
      <c r="H461" s="42">
        <f>H452+H460</f>
        <v>0</v>
      </c>
      <c r="I461" s="42">
        <f>I452+I460</f>
        <v>242710.05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240260.82</v>
      </c>
      <c r="G465" s="18">
        <v>0</v>
      </c>
      <c r="H465" s="18">
        <v>0</v>
      </c>
      <c r="I465" s="18">
        <v>0</v>
      </c>
      <c r="J465" s="18">
        <v>268286.38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9442011.5800000001</v>
      </c>
      <c r="G468" s="18">
        <f>264102.73+10240.53</f>
        <v>274343.26</v>
      </c>
      <c r="H468" s="18">
        <f>35361.86+415150.58</f>
        <v>450512.44</v>
      </c>
      <c r="I468" s="18"/>
      <c r="J468" s="18">
        <v>90000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f>507.75+313.23-96.61+453.16+326.86-331.09+338.77-334.57+770.91+429.09-124.16</f>
        <v>2253.34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9442011.5800000001</v>
      </c>
      <c r="G470" s="53">
        <f>SUM(G468:G469)</f>
        <v>274343.26</v>
      </c>
      <c r="H470" s="53">
        <f>SUM(H468:H469)</f>
        <v>450512.44</v>
      </c>
      <c r="I470" s="53">
        <f>SUM(I468:I469)</f>
        <v>0</v>
      </c>
      <c r="J470" s="53">
        <f>SUM(J468:J469)</f>
        <v>92253.34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9250739.6899999995</v>
      </c>
      <c r="G472" s="18">
        <v>274343.26</v>
      </c>
      <c r="H472" s="18">
        <f>35361.86+415150.58</f>
        <v>450512.44</v>
      </c>
      <c r="I472" s="18"/>
      <c r="J472" s="18">
        <f>103013.67+14816</f>
        <v>117829.67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f>29000+12639.41</f>
        <v>41639.410000000003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9292379.0999999996</v>
      </c>
      <c r="G474" s="53">
        <f>SUM(G472:G473)</f>
        <v>274343.26</v>
      </c>
      <c r="H474" s="53">
        <f>SUM(H472:H473)</f>
        <v>450512.44</v>
      </c>
      <c r="I474" s="53">
        <f>SUM(I472:I473)</f>
        <v>0</v>
      </c>
      <c r="J474" s="53">
        <f>SUM(J472:J473)</f>
        <v>117829.67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389893.30000000075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242710.05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913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915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916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4097790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1625000</v>
      </c>
      <c r="G495" s="18"/>
      <c r="H495" s="18"/>
      <c r="I495" s="18"/>
      <c r="J495" s="18"/>
      <c r="K495" s="53">
        <f>SUM(F495:J495)</f>
        <v>1625000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275000</v>
      </c>
      <c r="G497" s="18"/>
      <c r="H497" s="18"/>
      <c r="I497" s="18"/>
      <c r="J497" s="18"/>
      <c r="K497" s="53">
        <f t="shared" si="35"/>
        <v>275000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1350000</v>
      </c>
      <c r="G498" s="204"/>
      <c r="H498" s="204"/>
      <c r="I498" s="204"/>
      <c r="J498" s="204"/>
      <c r="K498" s="205">
        <f t="shared" si="35"/>
        <v>1350000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30273.75+23523.75+23523.75+16773.75+16773.75+11238.75+11238.75+5670+5670</f>
        <v>144686.25</v>
      </c>
      <c r="G499" s="18"/>
      <c r="H499" s="18"/>
      <c r="I499" s="18"/>
      <c r="J499" s="18"/>
      <c r="K499" s="53">
        <f t="shared" si="35"/>
        <v>144686.25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1494686.25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1494686.25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270000</v>
      </c>
      <c r="G501" s="204"/>
      <c r="H501" s="204"/>
      <c r="I501" s="204"/>
      <c r="J501" s="204"/>
      <c r="K501" s="205">
        <f t="shared" si="35"/>
        <v>270000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30273.75+23523.75</f>
        <v>53797.5</v>
      </c>
      <c r="G502" s="18"/>
      <c r="H502" s="18"/>
      <c r="I502" s="18"/>
      <c r="J502" s="18"/>
      <c r="K502" s="53">
        <f t="shared" si="35"/>
        <v>53797.5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323797.5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323797.5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397226.92000000004</v>
      </c>
      <c r="G521" s="18">
        <v>203834.6</v>
      </c>
      <c r="H521" s="18">
        <v>283606.35999999993</v>
      </c>
      <c r="I521" s="18">
        <v>1062.18</v>
      </c>
      <c r="J521" s="18"/>
      <c r="K521" s="18"/>
      <c r="L521" s="88">
        <f>SUM(F521:K521)</f>
        <v>885730.05999999994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149589.03999999998</v>
      </c>
      <c r="G522" s="18">
        <v>106892.33</v>
      </c>
      <c r="H522" s="18">
        <v>121061.68</v>
      </c>
      <c r="I522" s="18">
        <v>2329.35</v>
      </c>
      <c r="J522" s="18">
        <v>211.09</v>
      </c>
      <c r="K522" s="18"/>
      <c r="L522" s="88">
        <f>SUM(F522:K522)</f>
        <v>380083.49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225343.43</v>
      </c>
      <c r="G523" s="18">
        <v>127924.44</v>
      </c>
      <c r="H523" s="18">
        <v>234062.09999999998</v>
      </c>
      <c r="I523" s="18">
        <v>1207.1400000000001</v>
      </c>
      <c r="J523" s="18">
        <v>6180.14</v>
      </c>
      <c r="K523" s="18"/>
      <c r="L523" s="88">
        <f>SUM(F523:K523)</f>
        <v>594717.25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772159.3899999999</v>
      </c>
      <c r="G524" s="108">
        <f t="shared" ref="G524:L524" si="36">SUM(G521:G523)</f>
        <v>438651.37</v>
      </c>
      <c r="H524" s="108">
        <f t="shared" si="36"/>
        <v>638730.1399999999</v>
      </c>
      <c r="I524" s="108">
        <f t="shared" si="36"/>
        <v>4598.67</v>
      </c>
      <c r="J524" s="108">
        <f t="shared" si="36"/>
        <v>6391.2300000000005</v>
      </c>
      <c r="K524" s="108">
        <f t="shared" si="36"/>
        <v>0</v>
      </c>
      <c r="L524" s="89">
        <f t="shared" si="36"/>
        <v>1860530.7999999998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279956.58</v>
      </c>
      <c r="I526" s="18"/>
      <c r="J526" s="18"/>
      <c r="K526" s="18"/>
      <c r="L526" s="88">
        <f>SUM(F526:K526)</f>
        <v>279956.58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37562.879999999997</v>
      </c>
      <c r="I527" s="18"/>
      <c r="J527" s="18"/>
      <c r="K527" s="18"/>
      <c r="L527" s="88">
        <f>SUM(F527:K527)</f>
        <v>37562.879999999997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49574.19</v>
      </c>
      <c r="I528" s="18"/>
      <c r="J528" s="18"/>
      <c r="K528" s="18"/>
      <c r="L528" s="88">
        <f>SUM(F528:K528)</f>
        <v>49574.19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367093.65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367093.65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8281.11</v>
      </c>
      <c r="G531" s="18">
        <v>1931.1549150000001</v>
      </c>
      <c r="H531" s="18"/>
      <c r="I531" s="18"/>
      <c r="J531" s="18"/>
      <c r="K531" s="18"/>
      <c r="L531" s="88">
        <f>SUM(F531:K531)</f>
        <v>10212.264915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6102.45</v>
      </c>
      <c r="G532" s="18">
        <v>1423.0913399999999</v>
      </c>
      <c r="H532" s="18"/>
      <c r="I532" s="18"/>
      <c r="J532" s="18"/>
      <c r="K532" s="18"/>
      <c r="L532" s="88">
        <f>SUM(F532:K532)</f>
        <v>7525.5413399999998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9153.66</v>
      </c>
      <c r="G533" s="18">
        <v>2134.6335119999999</v>
      </c>
      <c r="H533" s="18"/>
      <c r="I533" s="18"/>
      <c r="J533" s="18"/>
      <c r="K533" s="18"/>
      <c r="L533" s="88">
        <f>SUM(F533:K533)</f>
        <v>11288.293512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23537.22</v>
      </c>
      <c r="G534" s="89">
        <f t="shared" ref="G534:L534" si="38">SUM(G531:G533)</f>
        <v>5488.8797670000004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29026.099767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24954.22</v>
      </c>
      <c r="G541" s="18">
        <v>2154.42</v>
      </c>
      <c r="H541" s="18">
        <v>27374.5</v>
      </c>
      <c r="I541" s="18"/>
      <c r="J541" s="18"/>
      <c r="K541" s="18"/>
      <c r="L541" s="88">
        <f>SUM(F541:K541)</f>
        <v>54483.14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14828.412</v>
      </c>
      <c r="G542" s="18">
        <v>1134.452</v>
      </c>
      <c r="H542" s="18">
        <v>1905</v>
      </c>
      <c r="I542" s="18"/>
      <c r="J542" s="18"/>
      <c r="K542" s="18"/>
      <c r="L542" s="88">
        <f>SUM(F542:K542)</f>
        <v>17867.864000000001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22242.617999999999</v>
      </c>
      <c r="G543" s="18">
        <v>1701.6780000000001</v>
      </c>
      <c r="H543" s="18"/>
      <c r="I543" s="18"/>
      <c r="J543" s="18"/>
      <c r="K543" s="18"/>
      <c r="L543" s="88">
        <f>SUM(F543:K543)</f>
        <v>23944.295999999998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62025.25</v>
      </c>
      <c r="G544" s="193">
        <f t="shared" ref="G544:L544" si="40">SUM(G541:G543)</f>
        <v>4990.55</v>
      </c>
      <c r="H544" s="193">
        <f t="shared" si="40"/>
        <v>29279.5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96295.3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857721.85999999987</v>
      </c>
      <c r="G545" s="89">
        <f t="shared" ref="G545:L545" si="41">G524+G529+G534+G539+G544</f>
        <v>449130.79976699996</v>
      </c>
      <c r="H545" s="89">
        <f t="shared" si="41"/>
        <v>1035103.2899999999</v>
      </c>
      <c r="I545" s="89">
        <f t="shared" si="41"/>
        <v>4598.67</v>
      </c>
      <c r="J545" s="89">
        <f t="shared" si="41"/>
        <v>6391.2300000000005</v>
      </c>
      <c r="K545" s="89">
        <f t="shared" si="41"/>
        <v>0</v>
      </c>
      <c r="L545" s="89">
        <f t="shared" si="41"/>
        <v>2352945.8497669995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885730.05999999994</v>
      </c>
      <c r="G549" s="87">
        <f>L526</f>
        <v>279956.58</v>
      </c>
      <c r="H549" s="87">
        <f>L531</f>
        <v>10212.264915</v>
      </c>
      <c r="I549" s="87">
        <f>L536</f>
        <v>0</v>
      </c>
      <c r="J549" s="87">
        <f>L541</f>
        <v>54483.14</v>
      </c>
      <c r="K549" s="87">
        <f>SUM(F549:J549)</f>
        <v>1230382.0449149997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380083.49</v>
      </c>
      <c r="G550" s="87">
        <f>L527</f>
        <v>37562.879999999997</v>
      </c>
      <c r="H550" s="87">
        <f>L532</f>
        <v>7525.5413399999998</v>
      </c>
      <c r="I550" s="87">
        <f>L537</f>
        <v>0</v>
      </c>
      <c r="J550" s="87">
        <f>L542</f>
        <v>17867.864000000001</v>
      </c>
      <c r="K550" s="87">
        <f>SUM(F550:J550)</f>
        <v>443039.77533999999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594717.25</v>
      </c>
      <c r="G551" s="87">
        <f>L528</f>
        <v>49574.19</v>
      </c>
      <c r="H551" s="87">
        <f>L533</f>
        <v>11288.293512</v>
      </c>
      <c r="I551" s="87">
        <f>L538</f>
        <v>0</v>
      </c>
      <c r="J551" s="87">
        <f>L543</f>
        <v>23944.295999999998</v>
      </c>
      <c r="K551" s="87">
        <f>SUM(F551:J551)</f>
        <v>679524.02951199992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1860530.7999999998</v>
      </c>
      <c r="G552" s="89">
        <f t="shared" si="42"/>
        <v>367093.65</v>
      </c>
      <c r="H552" s="89">
        <f t="shared" si="42"/>
        <v>29026.099767</v>
      </c>
      <c r="I552" s="89">
        <f t="shared" si="42"/>
        <v>0</v>
      </c>
      <c r="J552" s="89">
        <f t="shared" si="42"/>
        <v>96295.3</v>
      </c>
      <c r="K552" s="89">
        <f t="shared" si="42"/>
        <v>2352945.8497669995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11306</v>
      </c>
      <c r="I575" s="87">
        <f>SUM(F575:H575)</f>
        <v>11306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178890.71</v>
      </c>
      <c r="G579" s="18">
        <v>64005.83</v>
      </c>
      <c r="H579" s="18">
        <v>30916.79</v>
      </c>
      <c r="I579" s="87">
        <f t="shared" si="47"/>
        <v>273813.32999999996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98652.28</v>
      </c>
      <c r="G582" s="18">
        <v>49110.239999999998</v>
      </c>
      <c r="H582" s="18">
        <v>201876.09</v>
      </c>
      <c r="I582" s="87">
        <f t="shared" si="47"/>
        <v>349638.61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14730.71</v>
      </c>
      <c r="I584" s="87">
        <f t="shared" si="47"/>
        <v>14730.71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L208-H592-H593-H594-H595-H596-H597</f>
        <v>164710.15000000002</v>
      </c>
      <c r="I591" s="18">
        <f>L226-I592-I593-I594-I595-I596-I597</f>
        <v>98312.900000000009</v>
      </c>
      <c r="J591" s="18">
        <f>L244-J592-J593-J594-J595-J596-J597</f>
        <v>145432.87</v>
      </c>
      <c r="K591" s="104">
        <f t="shared" ref="K591:K597" si="48">SUM(H591:J591)</f>
        <v>408455.92000000004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L541</f>
        <v>54483.14</v>
      </c>
      <c r="I592" s="18">
        <f>L542</f>
        <v>17867.864000000001</v>
      </c>
      <c r="J592" s="18">
        <f>L543</f>
        <v>23944.295999999998</v>
      </c>
      <c r="K592" s="104">
        <f t="shared" si="48"/>
        <v>96295.3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32266.51+2412.61+354.78+3313.2</f>
        <v>38347.099999999991</v>
      </c>
      <c r="K593" s="104">
        <f>SUM(H593:J593)</f>
        <v>38347.099999999991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9095.15+690.62+358.25+3537.89</f>
        <v>13681.91</v>
      </c>
      <c r="J594" s="18"/>
      <c r="K594" s="104">
        <f t="shared" si="48"/>
        <v>13681.91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f>7792.36+576.12+251.69</f>
        <v>8620.17</v>
      </c>
      <c r="J595" s="18"/>
      <c r="K595" s="104">
        <f t="shared" si="48"/>
        <v>8620.17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219193.29000000004</v>
      </c>
      <c r="I598" s="108">
        <f>SUM(I591:I597)</f>
        <v>138482.84400000001</v>
      </c>
      <c r="J598" s="108">
        <f>SUM(J591:J597)</f>
        <v>207724.266</v>
      </c>
      <c r="K598" s="108">
        <f>SUM(K591:K597)</f>
        <v>565400.40000000014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55416.670000000006</v>
      </c>
      <c r="I604" s="18">
        <f>J229+J309</f>
        <v>29553.230000000003</v>
      </c>
      <c r="J604" s="18">
        <f>J247+J328</f>
        <v>35263.920000000006</v>
      </c>
      <c r="K604" s="104">
        <f>SUM(H604:J604)</f>
        <v>120233.82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55416.670000000006</v>
      </c>
      <c r="I605" s="108">
        <f>SUM(I602:I604)</f>
        <v>29553.230000000003</v>
      </c>
      <c r="J605" s="108">
        <f>SUM(J602:J604)</f>
        <v>35263.920000000006</v>
      </c>
      <c r="K605" s="108">
        <f>SUM(K602:K604)</f>
        <v>120233.82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4927.5+1520</f>
        <v>6447.5</v>
      </c>
      <c r="G611" s="18">
        <f>(4927.5*0.0765)+116.28+(F611*0.1567)</f>
        <v>1503.557</v>
      </c>
      <c r="H611" s="18">
        <v>1383.48</v>
      </c>
      <c r="I611" s="18"/>
      <c r="J611" s="18"/>
      <c r="K611" s="18"/>
      <c r="L611" s="88">
        <f>SUM(F611:K611)</f>
        <v>9334.5370000000003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2467.5+8045.5</f>
        <v>10513</v>
      </c>
      <c r="G612" s="18">
        <f>(F612*0.2332)-252.41</f>
        <v>2199.2215999999999</v>
      </c>
      <c r="H612" s="18">
        <v>799.72</v>
      </c>
      <c r="I612" s="18"/>
      <c r="J612" s="18"/>
      <c r="K612" s="18"/>
      <c r="L612" s="88">
        <f>SUM(F612:K612)</f>
        <v>13511.9416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2651.25+1600</f>
        <v>4251.25</v>
      </c>
      <c r="G613" s="18">
        <f>(F613*0.2332)-313.4</f>
        <v>677.99149999999997</v>
      </c>
      <c r="H613" s="18"/>
      <c r="I613" s="18"/>
      <c r="J613" s="18"/>
      <c r="K613" s="18"/>
      <c r="L613" s="88">
        <f>SUM(F613:K613)</f>
        <v>4929.2415000000001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21211.75</v>
      </c>
      <c r="G614" s="108">
        <f t="shared" si="49"/>
        <v>4380.7700999999997</v>
      </c>
      <c r="H614" s="108">
        <f t="shared" si="49"/>
        <v>2183.1999999999998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27775.720100000002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442807.7</v>
      </c>
      <c r="H617" s="109">
        <f>SUM(F52)</f>
        <v>442807.7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10240.530000000001</v>
      </c>
      <c r="H618" s="109">
        <f>SUM(G52)</f>
        <v>10240.529999999999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144848.5</v>
      </c>
      <c r="H619" s="109">
        <f>SUM(H52)</f>
        <v>144848.5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242710.05</v>
      </c>
      <c r="H621" s="109">
        <f>SUM(J52)</f>
        <v>242710.05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389893.3</v>
      </c>
      <c r="H622" s="109">
        <f>F476</f>
        <v>389893.30000000075</v>
      </c>
      <c r="I622" s="121" t="s">
        <v>101</v>
      </c>
      <c r="J622" s="109">
        <f t="shared" ref="J622:J655" si="50">G622-H622</f>
        <v>-7.5669959187507629E-10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242710.05</v>
      </c>
      <c r="H626" s="109">
        <f>J476</f>
        <v>242710.05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9442011.5800000001</v>
      </c>
      <c r="H627" s="104">
        <f>SUM(F468)</f>
        <v>9442011.5800000001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274343.26</v>
      </c>
      <c r="H628" s="104">
        <f>SUM(G468)</f>
        <v>274343.26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450512.43999999994</v>
      </c>
      <c r="H629" s="104">
        <f>SUM(H468)</f>
        <v>450512.44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90000</v>
      </c>
      <c r="H631" s="104">
        <f>SUM(J468)</f>
        <v>90000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9250739.6899999995</v>
      </c>
      <c r="H632" s="104">
        <f>SUM(F472)</f>
        <v>9250739.6899999995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450512.44</v>
      </c>
      <c r="H633" s="104">
        <f>SUM(H472)</f>
        <v>450512.44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41</v>
      </c>
      <c r="H634" s="104">
        <f>I369</f>
        <v>41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274343.26</v>
      </c>
      <c r="H635" s="104">
        <f>SUM(G472)</f>
        <v>274343.26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90000</v>
      </c>
      <c r="H637" s="164">
        <f>SUM(J468)</f>
        <v>90000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117829.67</v>
      </c>
      <c r="H638" s="164">
        <f>SUM(J472)</f>
        <v>117829.67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84574.21</v>
      </c>
      <c r="H639" s="104">
        <f>SUM(F461)</f>
        <v>84574.21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158135.84</v>
      </c>
      <c r="H640" s="104">
        <f>SUM(G461)</f>
        <v>158135.84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242710.05</v>
      </c>
      <c r="H642" s="104">
        <f>SUM(I461)</f>
        <v>242710.05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90000</v>
      </c>
      <c r="H645" s="104">
        <f>G408</f>
        <v>90000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90000</v>
      </c>
      <c r="H646" s="104">
        <f>L408</f>
        <v>90000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565400.40000000014</v>
      </c>
      <c r="H647" s="104">
        <f>L208+L226+L244</f>
        <v>565400.4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120233.82</v>
      </c>
      <c r="H648" s="104">
        <f>(J257+J338)-(J255+J336)</f>
        <v>120233.82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219193.29</v>
      </c>
      <c r="H649" s="104">
        <f>H598</f>
        <v>219193.29000000004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138482.84400000001</v>
      </c>
      <c r="H650" s="104">
        <f>I598</f>
        <v>138482.84400000001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207724.266</v>
      </c>
      <c r="H651" s="104">
        <f>J598</f>
        <v>207724.266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47541.4</v>
      </c>
      <c r="H652" s="104">
        <f>K263+K345</f>
        <v>47541.4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90000</v>
      </c>
      <c r="H655" s="104">
        <f>K266+K347</f>
        <v>90000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4298347.1500000004</v>
      </c>
      <c r="G660" s="19">
        <f>(L229+L309+L359)</f>
        <v>2293497.6859999998</v>
      </c>
      <c r="H660" s="19">
        <f>(L247+L328+L360)</f>
        <v>2850673.2939999998</v>
      </c>
      <c r="I660" s="19">
        <f>SUM(F660:H660)</f>
        <v>9442518.129999999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89703.61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89703.61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219614.38</v>
      </c>
      <c r="G662" s="19">
        <f>(L226+L306)-(J226+J306)</f>
        <v>139855.06400000001</v>
      </c>
      <c r="H662" s="19">
        <f>(L244+L325)-(J244+J325)</f>
        <v>209827.106</v>
      </c>
      <c r="I662" s="19">
        <f>SUM(F662:H662)</f>
        <v>569296.55000000005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342294.19699999999</v>
      </c>
      <c r="G663" s="199">
        <f>SUM(G575:G587)+SUM(I602:I604)+L612</f>
        <v>156181.24160000001</v>
      </c>
      <c r="H663" s="199">
        <f>SUM(H575:H587)+SUM(J602:J604)+L613</f>
        <v>299022.75150000001</v>
      </c>
      <c r="I663" s="19">
        <f>SUM(F663:H663)</f>
        <v>797498.19010000001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3646734.9630000005</v>
      </c>
      <c r="G664" s="19">
        <f>G660-SUM(G661:G663)</f>
        <v>1997461.3803999997</v>
      </c>
      <c r="H664" s="19">
        <f>H660-SUM(H661:H663)</f>
        <v>2341823.4364999998</v>
      </c>
      <c r="I664" s="19">
        <f>I660-SUM(I661:I663)</f>
        <v>7986019.7798999995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259.64</v>
      </c>
      <c r="G665" s="248">
        <v>110.86</v>
      </c>
      <c r="H665" s="248">
        <v>166.67</v>
      </c>
      <c r="I665" s="19">
        <f>SUM(F665:H665)</f>
        <v>537.16999999999996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14045.35</v>
      </c>
      <c r="G667" s="19">
        <f>ROUND(G664/G665,2)</f>
        <v>18017.87</v>
      </c>
      <c r="H667" s="19">
        <f>ROUND(H664/H665,2)</f>
        <v>14050.66</v>
      </c>
      <c r="I667" s="19">
        <f>ROUND(I664/I665,2)</f>
        <v>14866.84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-3.05</v>
      </c>
      <c r="I670" s="19">
        <f>SUM(F670:H670)</f>
        <v>-3.05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14045.35</v>
      </c>
      <c r="G672" s="19">
        <f>ROUND((G664+G669)/(G665+G670),2)</f>
        <v>18017.87</v>
      </c>
      <c r="H672" s="19">
        <f>ROUND((H664+H669)/(H665+H670),2)</f>
        <v>14312.57</v>
      </c>
      <c r="I672" s="19">
        <f>ROUND((I664+I669)/(I665+I670),2)</f>
        <v>14951.73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Milton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2194553.16</v>
      </c>
      <c r="C9" s="229">
        <f>'DOE25'!G197+'DOE25'!G215+'DOE25'!G233+'DOE25'!G276+'DOE25'!G295+'DOE25'!G314</f>
        <v>1086198.5700000003</v>
      </c>
    </row>
    <row r="10" spans="1:3" x14ac:dyDescent="0.2">
      <c r="A10" t="s">
        <v>779</v>
      </c>
      <c r="B10" s="240">
        <v>2115648.31</v>
      </c>
      <c r="C10" s="240">
        <v>1077038.2700000003</v>
      </c>
    </row>
    <row r="11" spans="1:3" x14ac:dyDescent="0.2">
      <c r="A11" t="s">
        <v>780</v>
      </c>
      <c r="B11" s="240">
        <v>16954.95</v>
      </c>
      <c r="C11" s="240">
        <v>4421.13</v>
      </c>
    </row>
    <row r="12" spans="1:3" x14ac:dyDescent="0.2">
      <c r="A12" t="s">
        <v>781</v>
      </c>
      <c r="B12" s="240">
        <v>61949.9</v>
      </c>
      <c r="C12" s="240">
        <v>4739.17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2194553.16</v>
      </c>
      <c r="C13" s="231">
        <f>SUM(C10:C12)</f>
        <v>1086198.57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795696.61</v>
      </c>
      <c r="C18" s="229">
        <f>'DOE25'!G198+'DOE25'!G216+'DOE25'!G234+'DOE25'!G277+'DOE25'!G296+'DOE25'!G315</f>
        <v>457856.79</v>
      </c>
    </row>
    <row r="19" spans="1:3" x14ac:dyDescent="0.2">
      <c r="A19" t="s">
        <v>779</v>
      </c>
      <c r="B19" s="240">
        <f>8281.11+127258+4927.5+6102.45+81117+2467.5+9153.66+91525+2651.25</f>
        <v>333483.46999999997</v>
      </c>
      <c r="C19" s="240">
        <f>23538.74+430.52+138.6+470.36+11836.77+21435.69+44859.46+439.03+-0.31+253.48+6441.52+13897.38+6434.52+7282.03+23615.48+1785.66+84.84+306.34+7315.83+15776.32</f>
        <v>186342.26000000004</v>
      </c>
    </row>
    <row r="20" spans="1:3" x14ac:dyDescent="0.2">
      <c r="A20" t="s">
        <v>780</v>
      </c>
      <c r="B20" s="240">
        <f>244927.42+20114+4388.28+60846.26+770+4388.28+126778.9</f>
        <v>462213.14000000013</v>
      </c>
      <c r="C20" s="240">
        <f>98069+20041.58+29804.49+29960+5066.79+7398.07+55100+11126.89+14947.71</f>
        <v>271514.53000000003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795696.6100000001</v>
      </c>
      <c r="C22" s="231">
        <f>SUM(C19:C21)</f>
        <v>457856.79000000004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47834.2</v>
      </c>
      <c r="C27" s="234">
        <f>'DOE25'!G199+'DOE25'!G217+'DOE25'!G235+'DOE25'!G278+'DOE25'!G297+'DOE25'!G316</f>
        <v>16796.45</v>
      </c>
    </row>
    <row r="28" spans="1:3" x14ac:dyDescent="0.2">
      <c r="A28" t="s">
        <v>779</v>
      </c>
      <c r="B28" s="240">
        <f>47834.2</f>
        <v>47834.2</v>
      </c>
      <c r="C28" s="240">
        <f>892.72+15903.73</f>
        <v>16796.45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47834.2</v>
      </c>
      <c r="C31" s="231">
        <f>SUM(C28:C30)</f>
        <v>16796.45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118657.08</v>
      </c>
      <c r="C36" s="235">
        <f>'DOE25'!G200+'DOE25'!G218+'DOE25'!G236+'DOE25'!G279+'DOE25'!G298+'DOE25'!G317</f>
        <v>35263.85</v>
      </c>
    </row>
    <row r="37" spans="1:3" x14ac:dyDescent="0.2">
      <c r="A37" t="s">
        <v>779</v>
      </c>
      <c r="B37" s="240">
        <f>20465+8045.5+10599.99+14595+1600+19800.01+19740</f>
        <v>94845.5</v>
      </c>
      <c r="C37" s="240">
        <f>1450.54+116.28+2768.29+3491.14+615.53+3894.5-252.41+324.73+1832.54+3024.1+122.4+3259.6-313.4</f>
        <v>20333.839999999997</v>
      </c>
    </row>
    <row r="38" spans="1:3" x14ac:dyDescent="0.2">
      <c r="A38" t="s">
        <v>780</v>
      </c>
      <c r="B38" s="240">
        <f>20521.58</f>
        <v>20521.580000000002</v>
      </c>
      <c r="C38" s="240">
        <f>182.58+10272+2802.56+1434.22</f>
        <v>14691.359999999999</v>
      </c>
    </row>
    <row r="39" spans="1:3" x14ac:dyDescent="0.2">
      <c r="A39" t="s">
        <v>781</v>
      </c>
      <c r="B39" s="240">
        <f>3290</f>
        <v>3290</v>
      </c>
      <c r="C39" s="240">
        <f>238.65</f>
        <v>238.65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118657.08</v>
      </c>
      <c r="C40" s="231">
        <f>SUM(C37:C39)</f>
        <v>35263.85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Milton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5774419.7100000009</v>
      </c>
      <c r="D5" s="20">
        <f>SUM('DOE25'!L197:L200)+SUM('DOE25'!L215:L218)+SUM('DOE25'!L233:L236)-F5-G5</f>
        <v>5737953.9200000009</v>
      </c>
      <c r="E5" s="243"/>
      <c r="F5" s="255">
        <f>SUM('DOE25'!J197:J200)+SUM('DOE25'!J215:J218)+SUM('DOE25'!J233:J236)</f>
        <v>32752.840000000004</v>
      </c>
      <c r="G5" s="53">
        <f>SUM('DOE25'!K197:K200)+SUM('DOE25'!K215:K218)+SUM('DOE25'!K233:K236)</f>
        <v>3712.95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403356.93999999994</v>
      </c>
      <c r="D6" s="20">
        <f>'DOE25'!L202+'DOE25'!L220+'DOE25'!L238-F6-G6</f>
        <v>402014.93999999994</v>
      </c>
      <c r="E6" s="243"/>
      <c r="F6" s="255">
        <f>'DOE25'!J202+'DOE25'!J220+'DOE25'!J238</f>
        <v>895</v>
      </c>
      <c r="G6" s="53">
        <f>'DOE25'!K202+'DOE25'!K220+'DOE25'!K238</f>
        <v>447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204460.49</v>
      </c>
      <c r="D7" s="20">
        <f>'DOE25'!L203+'DOE25'!L221+'DOE25'!L239-F7-G7</f>
        <v>202535.33</v>
      </c>
      <c r="E7" s="243"/>
      <c r="F7" s="255">
        <f>'DOE25'!J203+'DOE25'!J221+'DOE25'!J239</f>
        <v>1925.16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244519.05000000002</v>
      </c>
      <c r="D8" s="243"/>
      <c r="E8" s="20">
        <f>'DOE25'!L204+'DOE25'!L222+'DOE25'!L240-F8-G8-D9-D11</f>
        <v>238508.04</v>
      </c>
      <c r="F8" s="255">
        <f>'DOE25'!J204+'DOE25'!J222+'DOE25'!J240</f>
        <v>0</v>
      </c>
      <c r="G8" s="53">
        <f>'DOE25'!K204+'DOE25'!K222+'DOE25'!K240</f>
        <v>6011.01</v>
      </c>
      <c r="H8" s="259"/>
    </row>
    <row r="9" spans="1:9" x14ac:dyDescent="0.2">
      <c r="A9" s="32">
        <v>2310</v>
      </c>
      <c r="B9" t="s">
        <v>818</v>
      </c>
      <c r="C9" s="245">
        <f t="shared" si="0"/>
        <v>52365.74</v>
      </c>
      <c r="D9" s="244">
        <v>52365.74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16788.89</v>
      </c>
      <c r="D10" s="243"/>
      <c r="E10" s="244">
        <f>6712.55+10076.34</f>
        <v>16788.89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137816.98000000001</v>
      </c>
      <c r="D11" s="244">
        <v>137816.98000000001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603273.17000000004</v>
      </c>
      <c r="D12" s="20">
        <f>'DOE25'!L205+'DOE25'!L223+'DOE25'!L241-F12-G12</f>
        <v>597210.92999999993</v>
      </c>
      <c r="E12" s="243"/>
      <c r="F12" s="255">
        <f>'DOE25'!J205+'DOE25'!J223+'DOE25'!J241</f>
        <v>2343.9300000000003</v>
      </c>
      <c r="G12" s="53">
        <f>'DOE25'!K205+'DOE25'!K223+'DOE25'!K241</f>
        <v>3718.31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697068.42</v>
      </c>
      <c r="D14" s="20">
        <f>'DOE25'!L207+'DOE25'!L225+'DOE25'!L243-F14-G14</f>
        <v>691788.53</v>
      </c>
      <c r="E14" s="243"/>
      <c r="F14" s="255">
        <f>'DOE25'!J207+'DOE25'!J225+'DOE25'!J243</f>
        <v>5129.8900000000003</v>
      </c>
      <c r="G14" s="53">
        <f>'DOE25'!K207+'DOE25'!K225+'DOE25'!K243</f>
        <v>150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565400.4</v>
      </c>
      <c r="D15" s="20">
        <f>'DOE25'!L208+'DOE25'!L226+'DOE25'!L244-F15-G15</f>
        <v>561588.20000000007</v>
      </c>
      <c r="E15" s="243"/>
      <c r="F15" s="255">
        <f>'DOE25'!J208+'DOE25'!J226+'DOE25'!J244</f>
        <v>0</v>
      </c>
      <c r="G15" s="53">
        <f>'DOE25'!K208+'DOE25'!K226+'DOE25'!K244</f>
        <v>3812.2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34981.53</v>
      </c>
      <c r="D16" s="243"/>
      <c r="E16" s="20">
        <f>'DOE25'!L209+'DOE25'!L227+'DOE25'!L245-F16-G16</f>
        <v>31681.53</v>
      </c>
      <c r="F16" s="255">
        <f>'DOE25'!J209+'DOE25'!J227+'DOE25'!J245</f>
        <v>3300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59935.360000000001</v>
      </c>
      <c r="D22" s="243"/>
      <c r="E22" s="243"/>
      <c r="F22" s="255">
        <f>'DOE25'!L255+'DOE25'!L336</f>
        <v>59935.360000000001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335600.5</v>
      </c>
      <c r="D25" s="243"/>
      <c r="E25" s="243"/>
      <c r="F25" s="258"/>
      <c r="G25" s="256"/>
      <c r="H25" s="257">
        <f>'DOE25'!L260+'DOE25'!L261+'DOE25'!L341+'DOE25'!L342</f>
        <v>335600.5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274343.26</v>
      </c>
      <c r="D29" s="20">
        <f>'DOE25'!L358+'DOE25'!L359+'DOE25'!L360-'DOE25'!I367-F29-G29</f>
        <v>272307.26</v>
      </c>
      <c r="E29" s="243"/>
      <c r="F29" s="255">
        <f>'DOE25'!J358+'DOE25'!J359+'DOE25'!J360</f>
        <v>2036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450512.44</v>
      </c>
      <c r="D31" s="20">
        <f>'DOE25'!L290+'DOE25'!L309+'DOE25'!L328+'DOE25'!L333+'DOE25'!L334+'DOE25'!L335-F31-G31</f>
        <v>368505.71</v>
      </c>
      <c r="E31" s="243"/>
      <c r="F31" s="255">
        <f>'DOE25'!J290+'DOE25'!J309+'DOE25'!J328+'DOE25'!J333+'DOE25'!J334+'DOE25'!J335</f>
        <v>73887</v>
      </c>
      <c r="G31" s="53">
        <f>'DOE25'!K290+'DOE25'!K309+'DOE25'!K328+'DOE25'!K333+'DOE25'!K334+'DOE25'!K335</f>
        <v>8119.73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9024087.5400000028</v>
      </c>
      <c r="E33" s="246">
        <f>SUM(E5:E31)</f>
        <v>286978.45999999996</v>
      </c>
      <c r="F33" s="246">
        <f>SUM(F5:F31)</f>
        <v>182205.18</v>
      </c>
      <c r="G33" s="246">
        <f>SUM(G5:G31)</f>
        <v>25971.199999999997</v>
      </c>
      <c r="H33" s="246">
        <f>SUM(H5:H31)</f>
        <v>335600.5</v>
      </c>
    </row>
    <row r="35" spans="2:8" ht="12" thickBot="1" x14ac:dyDescent="0.25">
      <c r="B35" s="253" t="s">
        <v>847</v>
      </c>
      <c r="D35" s="254">
        <f>E33</f>
        <v>286978.45999999996</v>
      </c>
      <c r="E35" s="249"/>
    </row>
    <row r="36" spans="2:8" ht="12" thickTop="1" x14ac:dyDescent="0.2">
      <c r="B36" t="s">
        <v>815</v>
      </c>
      <c r="D36" s="20">
        <f>D33</f>
        <v>9024087.5400000028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32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415697.3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242710.05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144848.5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27080.129999999997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10240.530000000001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30.27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442807.7</v>
      </c>
      <c r="D18" s="41">
        <f>SUM(D8:D17)</f>
        <v>10240.530000000001</v>
      </c>
      <c r="E18" s="41">
        <f>SUM(E8:E17)</f>
        <v>144848.5</v>
      </c>
      <c r="F18" s="41">
        <f>SUM(F8:F17)</f>
        <v>0</v>
      </c>
      <c r="G18" s="41">
        <f>SUM(G8:G17)</f>
        <v>242710.05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-132529.46</v>
      </c>
      <c r="D21" s="95">
        <f>'DOE25'!G22</f>
        <v>4183.53</v>
      </c>
      <c r="E21" s="95">
        <f>'DOE25'!H22</f>
        <v>135795.63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46092.07</v>
      </c>
      <c r="D23" s="95">
        <f>'DOE25'!G24</f>
        <v>6057</v>
      </c>
      <c r="E23" s="95">
        <f>'DOE25'!H24</f>
        <v>212.49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140216.49</v>
      </c>
      <c r="D27" s="95">
        <f>'DOE25'!G28</f>
        <v>0</v>
      </c>
      <c r="E27" s="95">
        <f>'DOE25'!H28</f>
        <v>8840.3799999999992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-864.7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52914.400000000009</v>
      </c>
      <c r="D31" s="41">
        <f>SUM(D21:D30)</f>
        <v>10240.529999999999</v>
      </c>
      <c r="E31" s="41">
        <f>SUM(E21:E30)</f>
        <v>144848.5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242710.05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339893.3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389893.3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242710.05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442807.7</v>
      </c>
      <c r="D51" s="41">
        <f>D50+D31</f>
        <v>10240.529999999999</v>
      </c>
      <c r="E51" s="41">
        <f>E50+E31</f>
        <v>144848.5</v>
      </c>
      <c r="F51" s="41">
        <f>F50+F31</f>
        <v>0</v>
      </c>
      <c r="G51" s="41">
        <f>G50+G31</f>
        <v>242710.05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5300480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17451.330000000002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-726.78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89703.61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36006.509999999995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52731.06</v>
      </c>
      <c r="D62" s="130">
        <f>SUM(D57:D61)</f>
        <v>89703.61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5353211.0599999996</v>
      </c>
      <c r="D63" s="22">
        <f>D56+D62</f>
        <v>89703.61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2928846.89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840340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3769186.89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177046.78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8303.93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6209.8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13864.130000000001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191560.50999999998</v>
      </c>
      <c r="D78" s="130">
        <f>SUM(D72:D77)</f>
        <v>13864.130000000001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3960747.4</v>
      </c>
      <c r="D81" s="130">
        <f>SUM(D79:D80)+D78+D70</f>
        <v>13864.130000000001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3354.36</v>
      </c>
      <c r="D85" s="95">
        <f>'DOE25'!G147</f>
        <v>0</v>
      </c>
      <c r="E85" s="95">
        <f>'DOE25'!H147</f>
        <v>106868.59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124698.76</v>
      </c>
      <c r="D88" s="95">
        <f>SUM('DOE25'!G153:G161)</f>
        <v>123234.12</v>
      </c>
      <c r="E88" s="95">
        <f>SUM('DOE25'!H153:H161)</f>
        <v>343643.85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128053.12</v>
      </c>
      <c r="D91" s="131">
        <f>SUM(D85:D90)</f>
        <v>123234.12</v>
      </c>
      <c r="E91" s="131">
        <f>SUM(E85:E90)</f>
        <v>450512.43999999994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47541.4</v>
      </c>
      <c r="E96" s="95">
        <f>'DOE25'!H179</f>
        <v>0</v>
      </c>
      <c r="F96" s="95">
        <f>'DOE25'!I179</f>
        <v>0</v>
      </c>
      <c r="G96" s="95">
        <f>'DOE25'!J179</f>
        <v>90000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47541.4</v>
      </c>
      <c r="E103" s="86">
        <f>SUM(E93:E102)</f>
        <v>0</v>
      </c>
      <c r="F103" s="86">
        <f>SUM(F93:F102)</f>
        <v>0</v>
      </c>
      <c r="G103" s="86">
        <f>SUM(G93:G102)</f>
        <v>90000</v>
      </c>
    </row>
    <row r="104" spans="1:7" ht="12.75" thickTop="1" thickBot="1" x14ac:dyDescent="0.25">
      <c r="A104" s="33" t="s">
        <v>765</v>
      </c>
      <c r="C104" s="86">
        <f>C63+C81+C91+C103</f>
        <v>9442011.5799999982</v>
      </c>
      <c r="D104" s="86">
        <f>D63+D81+D91+D103</f>
        <v>274343.26</v>
      </c>
      <c r="E104" s="86">
        <f>E63+E81+E91+E103</f>
        <v>450512.43999999994</v>
      </c>
      <c r="F104" s="86">
        <f>F63+F81+F91+F103</f>
        <v>0</v>
      </c>
      <c r="G104" s="86">
        <f>G63+G81+G103</f>
        <v>90000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3220789.1100000003</v>
      </c>
      <c r="D109" s="24" t="s">
        <v>289</v>
      </c>
      <c r="E109" s="95">
        <f>('DOE25'!L276)+('DOE25'!L295)+('DOE25'!L314)</f>
        <v>324206.21999999997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2270367.09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79837.34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203426.16999999998</v>
      </c>
      <c r="D112" s="24" t="s">
        <v>289</v>
      </c>
      <c r="E112" s="95">
        <f>+('DOE25'!L279)+('DOE25'!L298)+('DOE25'!L317)</f>
        <v>4725.34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5774419.71</v>
      </c>
      <c r="D115" s="86">
        <f>SUM(D109:D114)</f>
        <v>0</v>
      </c>
      <c r="E115" s="86">
        <f>SUM(E109:E114)</f>
        <v>328931.56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403356.93999999994</v>
      </c>
      <c r="D118" s="24" t="s">
        <v>289</v>
      </c>
      <c r="E118" s="95">
        <f>+('DOE25'!L281)+('DOE25'!L300)+('DOE25'!L319)</f>
        <v>3167.4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204460.49</v>
      </c>
      <c r="D119" s="24" t="s">
        <v>289</v>
      </c>
      <c r="E119" s="95">
        <f>+('DOE25'!L282)+('DOE25'!L301)+('DOE25'!L320)</f>
        <v>106397.6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434701.77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603273.17000000004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8119.73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697068.42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565400.4</v>
      </c>
      <c r="D124" s="24" t="s">
        <v>289</v>
      </c>
      <c r="E124" s="95">
        <f>+('DOE25'!L287)+('DOE25'!L306)+('DOE25'!L325)</f>
        <v>3896.1499999999996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34981.53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274343.26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2943242.7199999997</v>
      </c>
      <c r="D128" s="86">
        <f>SUM(D118:D127)</f>
        <v>274343.26</v>
      </c>
      <c r="E128" s="86">
        <f>SUM(E118:E127)</f>
        <v>121580.87999999999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59935.360000000001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60600.5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47541.4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65000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533077.26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9250739.6899999995</v>
      </c>
      <c r="D145" s="86">
        <f>(D115+D128+D144)</f>
        <v>274343.26</v>
      </c>
      <c r="E145" s="86">
        <f>(E115+E128+E144)</f>
        <v>450512.44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4097790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1625000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1625000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275000</v>
      </c>
    </row>
    <row r="159" spans="1:9" x14ac:dyDescent="0.2">
      <c r="A159" s="22" t="s">
        <v>35</v>
      </c>
      <c r="B159" s="137">
        <f>'DOE25'!F498</f>
        <v>1350000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1350000</v>
      </c>
    </row>
    <row r="160" spans="1:9" x14ac:dyDescent="0.2">
      <c r="A160" s="22" t="s">
        <v>36</v>
      </c>
      <c r="B160" s="137">
        <f>'DOE25'!F499</f>
        <v>144686.25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144686.25</v>
      </c>
    </row>
    <row r="161" spans="1:7" x14ac:dyDescent="0.2">
      <c r="A161" s="22" t="s">
        <v>37</v>
      </c>
      <c r="B161" s="137">
        <f>'DOE25'!F500</f>
        <v>1494686.25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1494686.25</v>
      </c>
    </row>
    <row r="162" spans="1:7" x14ac:dyDescent="0.2">
      <c r="A162" s="22" t="s">
        <v>38</v>
      </c>
      <c r="B162" s="137">
        <f>'DOE25'!F501</f>
        <v>270000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270000</v>
      </c>
    </row>
    <row r="163" spans="1:7" x14ac:dyDescent="0.2">
      <c r="A163" s="22" t="s">
        <v>39</v>
      </c>
      <c r="B163" s="137">
        <f>'DOE25'!F502</f>
        <v>53797.5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53797.5</v>
      </c>
    </row>
    <row r="164" spans="1:7" x14ac:dyDescent="0.2">
      <c r="A164" s="22" t="s">
        <v>246</v>
      </c>
      <c r="B164" s="137">
        <f>'DOE25'!F503</f>
        <v>323797.5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323797.5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Milton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14045</v>
      </c>
    </row>
    <row r="5" spans="1:4" x14ac:dyDescent="0.2">
      <c r="B5" t="s">
        <v>704</v>
      </c>
      <c r="C5" s="179">
        <f>IF('DOE25'!G665+'DOE25'!G670=0,0,ROUND('DOE25'!G672,0))</f>
        <v>18018</v>
      </c>
    </row>
    <row r="6" spans="1:4" x14ac:dyDescent="0.2">
      <c r="B6" t="s">
        <v>62</v>
      </c>
      <c r="C6" s="179">
        <f>IF('DOE25'!H665+'DOE25'!H670=0,0,ROUND('DOE25'!H672,0))</f>
        <v>14313</v>
      </c>
    </row>
    <row r="7" spans="1:4" x14ac:dyDescent="0.2">
      <c r="B7" t="s">
        <v>705</v>
      </c>
      <c r="C7" s="179">
        <f>IF('DOE25'!I665+'DOE25'!I670=0,0,ROUND('DOE25'!I672,0))</f>
        <v>14952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3544995</v>
      </c>
      <c r="D10" s="182">
        <f>ROUND((C10/$C$28)*100,1)</f>
        <v>37.700000000000003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2270367</v>
      </c>
      <c r="D11" s="182">
        <f>ROUND((C11/$C$28)*100,1)</f>
        <v>24.1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79837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208152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406524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310858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469683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603273</v>
      </c>
      <c r="D18" s="182">
        <f t="shared" si="0"/>
        <v>6.4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8120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697068</v>
      </c>
      <c r="D20" s="182">
        <f t="shared" si="0"/>
        <v>7.4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569297</v>
      </c>
      <c r="D21" s="182">
        <f t="shared" si="0"/>
        <v>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60601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184639.39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9413414.3900000006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59935</v>
      </c>
    </row>
    <row r="30" spans="1:4" x14ac:dyDescent="0.2">
      <c r="B30" s="187" t="s">
        <v>729</v>
      </c>
      <c r="C30" s="180">
        <f>SUM(C28:C29)</f>
        <v>9473349.3900000006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275000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5300480</v>
      </c>
      <c r="D35" s="182">
        <f t="shared" ref="D35:D40" si="1">ROUND((C35/$C$41)*100,1)</f>
        <v>52.8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52731.060000000522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3769187</v>
      </c>
      <c r="D37" s="182">
        <f t="shared" si="1"/>
        <v>37.6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205425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701800</v>
      </c>
      <c r="D39" s="182">
        <f t="shared" si="1"/>
        <v>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10029623.060000001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Milton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2016-09-29T13:12:26Z</cp:lastPrinted>
  <dcterms:created xsi:type="dcterms:W3CDTF">1997-12-04T19:04:30Z</dcterms:created>
  <dcterms:modified xsi:type="dcterms:W3CDTF">2016-11-30T16:36:16Z</dcterms:modified>
</cp:coreProperties>
</file>