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200" windowHeight="78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23" i="1" l="1"/>
  <c r="H523" i="1"/>
  <c r="G523" i="1"/>
  <c r="F523" i="1"/>
  <c r="J522" i="1"/>
  <c r="I522" i="1"/>
  <c r="H522" i="1"/>
  <c r="G522" i="1"/>
  <c r="F522" i="1"/>
  <c r="K521" i="1"/>
  <c r="J521" i="1"/>
  <c r="I521" i="1"/>
  <c r="H521" i="1"/>
  <c r="G521" i="1"/>
  <c r="F521" i="1"/>
  <c r="F109" i="1" l="1"/>
  <c r="K233" i="1" l="1"/>
  <c r="J233" i="1"/>
  <c r="I233" i="1"/>
  <c r="H233" i="1"/>
  <c r="G233" i="1"/>
  <c r="F233" i="1"/>
  <c r="K215" i="1"/>
  <c r="I215" i="1"/>
  <c r="H215" i="1"/>
  <c r="G215" i="1"/>
  <c r="F215" i="1"/>
  <c r="I197" i="1"/>
  <c r="H197" i="1"/>
  <c r="G197" i="1"/>
  <c r="F197" i="1"/>
  <c r="K198" i="1"/>
  <c r="J198" i="1"/>
  <c r="I198" i="1"/>
  <c r="H198" i="1"/>
  <c r="G198" i="1"/>
  <c r="F198" i="1"/>
  <c r="I216" i="1"/>
  <c r="H216" i="1"/>
  <c r="G216" i="1"/>
  <c r="F216" i="1"/>
  <c r="I234" i="1"/>
  <c r="H234" i="1"/>
  <c r="G234" i="1"/>
  <c r="F234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H205" i="1"/>
  <c r="I205" i="1"/>
  <c r="K205" i="1"/>
  <c r="G205" i="1"/>
  <c r="F205" i="1"/>
  <c r="I223" i="1"/>
  <c r="H223" i="1"/>
  <c r="G223" i="1"/>
  <c r="F223" i="1"/>
  <c r="H241" i="1"/>
  <c r="G241" i="1"/>
  <c r="I241" i="1"/>
  <c r="F241" i="1"/>
  <c r="H221" i="1"/>
  <c r="K239" i="1"/>
  <c r="I239" i="1"/>
  <c r="H239" i="1"/>
  <c r="G239" i="1"/>
  <c r="F239" i="1"/>
  <c r="K221" i="1"/>
  <c r="I221" i="1"/>
  <c r="G221" i="1"/>
  <c r="F221" i="1"/>
  <c r="I203" i="1"/>
  <c r="H203" i="1"/>
  <c r="G203" i="1"/>
  <c r="F203" i="1"/>
  <c r="G238" i="1"/>
  <c r="G220" i="1"/>
  <c r="G202" i="1"/>
  <c r="F202" i="1"/>
  <c r="K238" i="1"/>
  <c r="I238" i="1"/>
  <c r="H238" i="1"/>
  <c r="F238" i="1"/>
  <c r="F220" i="1"/>
  <c r="K220" i="1"/>
  <c r="I220" i="1"/>
  <c r="H220" i="1"/>
  <c r="H202" i="1"/>
  <c r="I202" i="1"/>
  <c r="H226" i="1"/>
  <c r="H244" i="1"/>
  <c r="H208" i="1"/>
  <c r="J591" i="1"/>
  <c r="I591" i="1"/>
  <c r="I319" i="1" l="1"/>
  <c r="H283" i="1"/>
  <c r="G314" i="1"/>
  <c r="F314" i="1"/>
  <c r="G315" i="1"/>
  <c r="F315" i="1"/>
  <c r="H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C40" i="10"/>
  <c r="F60" i="1"/>
  <c r="C35" i="10" s="1"/>
  <c r="G60" i="1"/>
  <c r="H60" i="1"/>
  <c r="E56" i="2" s="1"/>
  <c r="I60" i="1"/>
  <c r="F79" i="1"/>
  <c r="C57" i="2" s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F169" i="1" s="1"/>
  <c r="G147" i="1"/>
  <c r="G162" i="1"/>
  <c r="H147" i="1"/>
  <c r="H162" i="1"/>
  <c r="H169" i="1" s="1"/>
  <c r="I147" i="1"/>
  <c r="I162" i="1"/>
  <c r="I169" i="1" s="1"/>
  <c r="C11" i="10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3" i="2"/>
  <c r="E113" i="2"/>
  <c r="C114" i="2"/>
  <c r="D115" i="2"/>
  <c r="F115" i="2"/>
  <c r="G115" i="2"/>
  <c r="E123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H545" i="1" s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40" i="1"/>
  <c r="G641" i="1"/>
  <c r="H641" i="1"/>
  <c r="J641" i="1" s="1"/>
  <c r="G643" i="1"/>
  <c r="H643" i="1"/>
  <c r="G644" i="1"/>
  <c r="G645" i="1"/>
  <c r="H645" i="1"/>
  <c r="G652" i="1"/>
  <c r="H652" i="1"/>
  <c r="G653" i="1"/>
  <c r="H653" i="1"/>
  <c r="G654" i="1"/>
  <c r="H654" i="1"/>
  <c r="H655" i="1"/>
  <c r="C18" i="2"/>
  <c r="D18" i="2"/>
  <c r="D31" i="2"/>
  <c r="G161" i="2"/>
  <c r="E78" i="2"/>
  <c r="L427" i="1"/>
  <c r="K571" i="1"/>
  <c r="J643" i="1"/>
  <c r="I476" i="1"/>
  <c r="H625" i="1" s="1"/>
  <c r="C29" i="10"/>
  <c r="L560" i="1"/>
  <c r="J655" i="1"/>
  <c r="G36" i="2"/>
  <c r="F552" i="1" l="1"/>
  <c r="L534" i="1"/>
  <c r="K551" i="1"/>
  <c r="H552" i="1"/>
  <c r="K605" i="1"/>
  <c r="G648" i="1" s="1"/>
  <c r="C78" i="2"/>
  <c r="C81" i="2" s="1"/>
  <c r="J617" i="1"/>
  <c r="C20" i="10"/>
  <c r="C119" i="2"/>
  <c r="D7" i="13"/>
  <c r="C7" i="13" s="1"/>
  <c r="I545" i="1"/>
  <c r="G545" i="1"/>
  <c r="K550" i="1"/>
  <c r="K257" i="1"/>
  <c r="K271" i="1" s="1"/>
  <c r="L565" i="1"/>
  <c r="L571" i="1" s="1"/>
  <c r="A31" i="12"/>
  <c r="A40" i="12"/>
  <c r="F662" i="1"/>
  <c r="K545" i="1"/>
  <c r="L524" i="1"/>
  <c r="F476" i="1"/>
  <c r="H622" i="1" s="1"/>
  <c r="J622" i="1" s="1"/>
  <c r="J639" i="1"/>
  <c r="L419" i="1"/>
  <c r="G338" i="1"/>
  <c r="G352" i="1" s="1"/>
  <c r="F271" i="1"/>
  <c r="H192" i="1"/>
  <c r="F192" i="1"/>
  <c r="G157" i="2"/>
  <c r="C123" i="2"/>
  <c r="L270" i="1"/>
  <c r="C112" i="2"/>
  <c r="K598" i="1"/>
  <c r="G647" i="1" s="1"/>
  <c r="J552" i="1"/>
  <c r="L544" i="1"/>
  <c r="G662" i="1"/>
  <c r="C124" i="2"/>
  <c r="L351" i="1"/>
  <c r="E119" i="2"/>
  <c r="C18" i="10"/>
  <c r="E121" i="2"/>
  <c r="H662" i="1"/>
  <c r="H338" i="1"/>
  <c r="H352" i="1" s="1"/>
  <c r="C13" i="10"/>
  <c r="L309" i="1"/>
  <c r="L328" i="1"/>
  <c r="G624" i="1"/>
  <c r="E31" i="2"/>
  <c r="J624" i="1"/>
  <c r="J645" i="1"/>
  <c r="J644" i="1"/>
  <c r="L247" i="1"/>
  <c r="H660" i="1" s="1"/>
  <c r="C120" i="2"/>
  <c r="I257" i="1"/>
  <c r="C125" i="2"/>
  <c r="G257" i="1"/>
  <c r="G271" i="1" s="1"/>
  <c r="D5" i="13"/>
  <c r="C5" i="13" s="1"/>
  <c r="H257" i="1"/>
  <c r="H271" i="1" s="1"/>
  <c r="G476" i="1"/>
  <c r="H623" i="1" s="1"/>
  <c r="J476" i="1"/>
  <c r="H626" i="1" s="1"/>
  <c r="J634" i="1"/>
  <c r="D29" i="13"/>
  <c r="C29" i="13" s="1"/>
  <c r="H661" i="1"/>
  <c r="J623" i="1"/>
  <c r="J571" i="1"/>
  <c r="H571" i="1"/>
  <c r="F571" i="1"/>
  <c r="J545" i="1"/>
  <c r="L256" i="1"/>
  <c r="J257" i="1"/>
  <c r="J271" i="1" s="1"/>
  <c r="I52" i="1"/>
  <c r="H620" i="1" s="1"/>
  <c r="J620" i="1" s="1"/>
  <c r="G625" i="1"/>
  <c r="J625" i="1" s="1"/>
  <c r="B164" i="2"/>
  <c r="G164" i="2" s="1"/>
  <c r="K503" i="1"/>
  <c r="G156" i="2"/>
  <c r="E103" i="2"/>
  <c r="F78" i="2"/>
  <c r="F81" i="2" s="1"/>
  <c r="E62" i="2"/>
  <c r="E63" i="2" s="1"/>
  <c r="F112" i="1"/>
  <c r="C36" i="10" s="1"/>
  <c r="F663" i="1"/>
  <c r="I663" i="1" s="1"/>
  <c r="L614" i="1"/>
  <c r="L401" i="1"/>
  <c r="C139" i="2" s="1"/>
  <c r="A13" i="12"/>
  <c r="C25" i="10"/>
  <c r="H25" i="13"/>
  <c r="E114" i="2"/>
  <c r="E124" i="2"/>
  <c r="E122" i="2"/>
  <c r="E120" i="2"/>
  <c r="E118" i="2"/>
  <c r="E111" i="2"/>
  <c r="E109" i="2"/>
  <c r="E115" i="2" s="1"/>
  <c r="L290" i="1"/>
  <c r="F661" i="1"/>
  <c r="C21" i="10"/>
  <c r="H647" i="1"/>
  <c r="D12" i="13"/>
  <c r="C12" i="13" s="1"/>
  <c r="C15" i="10"/>
  <c r="L229" i="1"/>
  <c r="C12" i="10"/>
  <c r="C10" i="10"/>
  <c r="C19" i="10"/>
  <c r="E13" i="13"/>
  <c r="C13" i="13" s="1"/>
  <c r="C17" i="10"/>
  <c r="E8" i="13"/>
  <c r="C8" i="13" s="1"/>
  <c r="E16" i="13"/>
  <c r="F22" i="13"/>
  <c r="C22" i="13" s="1"/>
  <c r="H112" i="1"/>
  <c r="H193" i="1" s="1"/>
  <c r="G629" i="1" s="1"/>
  <c r="J629" i="1" s="1"/>
  <c r="D14" i="13"/>
  <c r="C14" i="13" s="1"/>
  <c r="D6" i="13"/>
  <c r="C6" i="13" s="1"/>
  <c r="D15" i="13"/>
  <c r="C15" i="13" s="1"/>
  <c r="G651" i="1"/>
  <c r="J651" i="1" s="1"/>
  <c r="G649" i="1"/>
  <c r="J649" i="1" s="1"/>
  <c r="K500" i="1"/>
  <c r="I460" i="1"/>
  <c r="I461" i="1" s="1"/>
  <c r="H642" i="1" s="1"/>
  <c r="J642" i="1" s="1"/>
  <c r="J640" i="1"/>
  <c r="L433" i="1"/>
  <c r="L434" i="1" s="1"/>
  <c r="G638" i="1" s="1"/>
  <c r="J638" i="1" s="1"/>
  <c r="J338" i="1"/>
  <c r="J352" i="1" s="1"/>
  <c r="F338" i="1"/>
  <c r="F352" i="1" s="1"/>
  <c r="D127" i="2"/>
  <c r="D128" i="2" s="1"/>
  <c r="D145" i="2" s="1"/>
  <c r="C122" i="2"/>
  <c r="C121" i="2"/>
  <c r="C118" i="2"/>
  <c r="C111" i="2"/>
  <c r="C56" i="2"/>
  <c r="D50" i="2"/>
  <c r="D51" i="2" s="1"/>
  <c r="F18" i="2"/>
  <c r="C132" i="2"/>
  <c r="E132" i="2"/>
  <c r="E144" i="2" s="1"/>
  <c r="I549" i="1"/>
  <c r="I552" i="1" s="1"/>
  <c r="L539" i="1"/>
  <c r="G549" i="1"/>
  <c r="L529" i="1"/>
  <c r="L545" i="1" s="1"/>
  <c r="F130" i="2"/>
  <c r="F144" i="2" s="1"/>
  <c r="F145" i="2" s="1"/>
  <c r="G661" i="1"/>
  <c r="L211" i="1"/>
  <c r="C142" i="2"/>
  <c r="C26" i="10"/>
  <c r="C16" i="10"/>
  <c r="E81" i="2"/>
  <c r="I271" i="1"/>
  <c r="L382" i="1"/>
  <c r="G636" i="1" s="1"/>
  <c r="J636" i="1" s="1"/>
  <c r="K338" i="1"/>
  <c r="K352" i="1" s="1"/>
  <c r="C62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C27" i="10"/>
  <c r="G635" i="1"/>
  <c r="J635" i="1" s="1"/>
  <c r="F193" i="1" l="1"/>
  <c r="G627" i="1" s="1"/>
  <c r="J627" i="1" s="1"/>
  <c r="C115" i="2"/>
  <c r="G104" i="2"/>
  <c r="F104" i="2"/>
  <c r="C63" i="2"/>
  <c r="C104" i="2" s="1"/>
  <c r="I662" i="1"/>
  <c r="J647" i="1"/>
  <c r="E104" i="2"/>
  <c r="E128" i="2"/>
  <c r="E145" i="2" s="1"/>
  <c r="H648" i="1"/>
  <c r="J648" i="1" s="1"/>
  <c r="L338" i="1"/>
  <c r="L352" i="1" s="1"/>
  <c r="G633" i="1" s="1"/>
  <c r="J633" i="1" s="1"/>
  <c r="G660" i="1"/>
  <c r="G664" i="1" s="1"/>
  <c r="G672" i="1" s="1"/>
  <c r="C5" i="10" s="1"/>
  <c r="E51" i="2"/>
  <c r="L408" i="1"/>
  <c r="H664" i="1"/>
  <c r="H667" i="1" s="1"/>
  <c r="I661" i="1"/>
  <c r="K549" i="1"/>
  <c r="K552" i="1" s="1"/>
  <c r="G552" i="1"/>
  <c r="L257" i="1"/>
  <c r="L271" i="1" s="1"/>
  <c r="G632" i="1" s="1"/>
  <c r="J632" i="1" s="1"/>
  <c r="C28" i="10"/>
  <c r="D24" i="10" s="1"/>
  <c r="D31" i="13"/>
  <c r="C31" i="13" s="1"/>
  <c r="C141" i="2"/>
  <c r="C144" i="2" s="1"/>
  <c r="C128" i="2"/>
  <c r="E33" i="13"/>
  <c r="D35" i="13" s="1"/>
  <c r="C16" i="13"/>
  <c r="F660" i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G667" i="1"/>
  <c r="G637" i="1"/>
  <c r="J637" i="1" s="1"/>
  <c r="H646" i="1"/>
  <c r="J646" i="1" s="1"/>
  <c r="C145" i="2"/>
  <c r="H672" i="1"/>
  <c r="C6" i="10" s="1"/>
  <c r="D13" i="10"/>
  <c r="D21" i="10"/>
  <c r="D11" i="10"/>
  <c r="D22" i="10"/>
  <c r="D10" i="10"/>
  <c r="D26" i="10"/>
  <c r="C30" i="10"/>
  <c r="D16" i="10"/>
  <c r="D23" i="10"/>
  <c r="F664" i="1"/>
  <c r="I660" i="1"/>
  <c r="I664" i="1" s="1"/>
  <c r="I672" i="1" s="1"/>
  <c r="C7" i="10" s="1"/>
  <c r="D27" i="10"/>
  <c r="D20" i="10"/>
  <c r="D18" i="10"/>
  <c r="D15" i="10"/>
  <c r="D17" i="10"/>
  <c r="D25" i="10"/>
  <c r="D12" i="10"/>
  <c r="D19" i="10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<sst xmlns="http://schemas.openxmlformats.org/spreadsheetml/2006/main" count="3958" uniqueCount="916">
  <si>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</si>
  <si>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</si>
  <si>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</si>
  <si>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</si>
  <si>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</si>
  <si>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</si>
  <si>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</si>
  <si>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</si>
  <si>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</si>
  <si>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</si>
  <si>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</si>
  <si>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</si>
  <si>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</si>
  <si>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</si>
  <si>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</si>
  <si>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</si>
  <si>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</si>
  <si>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</si>
  <si>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</si>
  <si>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</si>
  <si>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</si>
  <si>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</si>
  <si>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</si>
  <si>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</si>
  <si>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</si>
  <si>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</si>
  <si>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</si>
  <si>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</si>
  <si>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</si>
  <si>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</si>
  <si>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</si>
  <si>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</si>
  <si>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</si>
  <si>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</si>
  <si>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</si>
  <si>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</si>
  <si>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</si>
  <si>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</si>
  <si>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</si>
  <si>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</si>
  <si>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</si>
  <si>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</si>
  <si>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</si>
  <si>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</si>
  <si>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</si>
  <si>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</si>
  <si>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</si>
  <si>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</si>
  <si>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</si>
  <si>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</si>
  <si>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</si>
  <si>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</si>
  <si>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</si>
  <si>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</si>
  <si>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</si>
  <si>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</si>
  <si>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</si>
  <si>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</si>
  <si>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</si>
  <si>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</si>
  <si>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</si>
  <si>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</si>
  <si>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</si>
  <si>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</si>
  <si>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</si>
  <si>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</si>
  <si>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</si>
  <si>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</si>
  <si>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</si>
  <si>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</si>
  <si>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</si>
  <si>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</si>
  <si>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</si>
  <si>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</si>
  <si>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</si>
  <si>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</si>
  <si>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</si>
  <si>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</si>
  <si>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</si>
  <si>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</si>
  <si>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</si>
  <si>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</si>
  <si>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</si>
  <si>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</si>
  <si>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</si>
  <si>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</si>
  <si>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</si>
  <si>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</si>
  <si>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</si>
  <si>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</si>
  <si>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</si>
  <si>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</si>
  <si>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</si>
  <si>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</si>
  <si>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</si>
  <si>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</si>
  <si>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</si>
  <si>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</si>
  <si>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</si>
  <si>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</si>
  <si>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</si>
  <si>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</si>
  <si>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</si>
  <si>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</si>
  <si>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</si>
  <si>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</si>
  <si>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</si>
  <si>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</si>
  <si>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</si>
  <si>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</si>
  <si>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</si>
  <si>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</si>
  <si>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</si>
  <si>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</si>
  <si>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</si>
  <si>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</si>
  <si>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</si>
  <si>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</si>
  <si>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</si>
  <si>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</si>
  <si>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</si>
  <si>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</si>
  <si>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</si>
  <si>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</si>
  <si>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</si>
  <si>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</si>
  <si>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</si>
  <si>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</si>
  <si>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</si>
  <si>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</si>
  <si>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</si>
  <si>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</si>
  <si>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</si>
  <si>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</si>
  <si>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</si>
  <si>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</si>
  <si>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</si>
  <si>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</si>
  <si>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</si>
  <si>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</si>
  <si>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</si>
  <si>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</si>
  <si>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</si>
  <si>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</si>
  <si>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</si>
  <si>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</si>
  <si>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</si>
  <si>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</si>
  <si>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</si>
  <si>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</si>
  <si>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</si>
  <si>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</si>
  <si>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</si>
  <si>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</si>
  <si>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</si>
  <si>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</si>
  <si>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</si>
  <si>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</si>
  <si>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</si>
  <si>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</si>
  <si>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</si>
  <si>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</si>
  <si>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</si>
  <si>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</si>
  <si>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</si>
  <si>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</si>
  <si>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</si>
  <si>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</si>
  <si>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</si>
  <si>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</si>
  <si>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</si>
  <si>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</si>
  <si>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</si>
  <si>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</si>
  <si>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</si>
  <si>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</si>
  <si>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</si>
  <si>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</si>
  <si>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</si>
  <si>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</si>
  <si>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</si>
  <si>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</si>
  <si>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</si>
  <si>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</si>
  <si>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</si>
  <si>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</si>
  <si>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</si>
  <si>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</si>
  <si>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</si>
  <si>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</si>
  <si>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</si>
  <si>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</si>
  <si>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</si>
  <si>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</si>
  <si>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</si>
  <si>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</si>
  <si>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</si>
  <si>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</si>
  <si>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</si>
  <si>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</si>
  <si>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</si>
  <si>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</si>
  <si>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</si>
  <si>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</si>
  <si>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</si>
  <si>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</si>
  <si>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</si>
  <si>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</si>
  <si>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</si>
  <si>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</si>
  <si>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</si>
  <si>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</si>
  <si>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</si>
  <si>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</si>
  <si>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</si>
  <si>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</si>
  <si>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</si>
  <si>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</si>
  <si>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</si>
  <si>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</si>
  <si>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</si>
  <si>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</si>
  <si>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</si>
  <si>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</si>
  <si>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</si>
  <si>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</si>
  <si>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</si>
  <si>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</si>
  <si>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</si>
  <si>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</si>
  <si>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</si>
  <si>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</si>
  <si>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</si>
  <si>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</si>
  <si>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</si>
  <si>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</si>
  <si>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</si>
  <si>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</si>
  <si>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</si>
  <si>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</si>
  <si>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</si>
  <si>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</si>
  <si>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</si>
  <si>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</si>
  <si>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</si>
  <si>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</si>
  <si>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</si>
  <si>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</si>
  <si>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</si>
  <si>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</si>
  <si>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</si>
  <si>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</si>
  <si>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</si>
  <si>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</si>
  <si>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</si>
  <si>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</si>
  <si>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</si>
  <si>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</si>
  <si>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</si>
  <si>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</si>
  <si>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</si>
  <si>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</si>
  <si>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</si>
  <si>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</si>
  <si>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</si>
  <si>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</si>
  <si>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</si>
  <si>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</si>
  <si>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</si>
  <si>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</si>
  <si>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</si>
  <si>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</si>
  <si>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</si>
  <si>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</si>
  <si>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</si>
  <si>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</si>
  <si>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</si>
  <si>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</si>
  <si>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</si>
  <si>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</si>
  <si>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</si>
  <si>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</si>
  <si>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</si>
  <si>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</si>
  <si>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</si>
  <si>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</si>
  <si>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</si>
  <si>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</si>
  <si>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</si>
  <si>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</si>
  <si>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</si>
  <si>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</si>
  <si>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</si>
  <si>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</si>
  <si>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</si>
  <si>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</si>
  <si>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</si>
  <si>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</si>
  <si>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</si>
  <si>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</si>
  <si>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</si>
  <si>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</si>
  <si>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</si>
  <si>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</si>
  <si>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</si>
  <si>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</si>
  <si>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</si>
  <si>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</si>
  <si>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</si>
  <si>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</si>
  <si>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</si>
  <si>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</si>
  <si>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</si>
  <si>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</si>
  <si>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</si>
  <si>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</si>
  <si>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</si>
  <si>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</si>
  <si>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</si>
  <si>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</si>
  <si>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</si>
  <si>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</si>
  <si>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</si>
  <si>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</si>
  <si>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</si>
  <si>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</si>
  <si>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</si>
  <si>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</si>
  <si>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</si>
  <si>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</si>
  <si>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</si>
  <si>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</si>
  <si>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</si>
  <si>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</si>
  <si>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</si>
  <si>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</si>
  <si>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</si>
  <si>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</si>
  <si>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</si>
  <si>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</si>
  <si>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</si>
  <si>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</si>
  <si>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</si>
  <si>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</si>
  <si>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</si>
  <si>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</si>
  <si>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</si>
  <si>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</si>
  <si>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</si>
  <si>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</si>
  <si>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</si>
  <si>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</si>
  <si>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</si>
  <si>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</si>
  <si>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</si>
  <si>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</si>
  <si>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</si>
  <si>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</si>
  <si>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</si>
  <si>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</si>
  <si>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</si>
  <si>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</si>
  <si>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</si>
  <si>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</si>
  <si>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</si>
  <si>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</si>
  <si>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</si>
  <si>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</si>
  <si>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</si>
  <si>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</si>
  <si>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</si>
  <si>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</si>
  <si>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</si>
  <si>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</si>
  <si>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</si>
  <si>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</si>
  <si>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</si>
  <si>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</si>
  <si>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</si>
  <si>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</si>
  <si>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</si>
  <si>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</si>
  <si>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</si>
  <si>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</si>
  <si>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</si>
  <si>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</si>
  <si>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</si>
  <si>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</si>
  <si>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</si>
  <si>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</si>
  <si>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</si>
  <si>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</si>
  <si>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</si>
  <si>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</si>
  <si>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</si>
  <si>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</si>
  <si>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</si>
  <si>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</si>
  <si>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</si>
  <si>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</si>
  <si>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</si>
  <si>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</si>
  <si>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</si>
  <si>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</si>
  <si>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</si>
  <si>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</si>
  <si>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</si>
  <si>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</si>
  <si>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</si>
  <si>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</si>
  <si>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</si>
  <si>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</si>
  <si>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</si>
  <si>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</si>
  <si>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</si>
  <si>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</si>
  <si>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</si>
  <si>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</si>
  <si>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</si>
  <si>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</si>
  <si>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</si>
  <si>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</si>
  <si>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</si>
  <si>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</si>
  <si>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</si>
  <si>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</si>
  <si>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</si>
  <si>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</si>
  <si>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</si>
  <si>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</si>
  <si>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</si>
  <si>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</si>
  <si>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</si>
  <si>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</si>
  <si>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</si>
  <si>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</si>
  <si>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</si>
  <si>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</si>
  <si>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</si>
  <si>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</si>
  <si>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</si>
  <si>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</si>
  <si>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</si>
  <si>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</si>
  <si>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</si>
  <si>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</si>
  <si>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</si>
  <si>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</si>
  <si>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</si>
  <si>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</si>
  <si>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</si>
  <si>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</si>
  <si>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</si>
  <si>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</si>
  <si>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</si>
  <si>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</si>
  <si>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</si>
  <si>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</si>
  <si>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</si>
  <si>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</si>
  <si>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</si>
  <si>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</si>
  <si>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</si>
  <si>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</si>
  <si>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</si>
  <si>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</si>
  <si>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</si>
  <si>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</si>
  <si>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</si>
  <si>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</si>
  <si>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</si>
  <si>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</si>
  <si>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</si>
  <si>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</si>
  <si>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</si>
  <si>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</si>
  <si>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</si>
  <si>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</si>
  <si>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</si>
  <si>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</si>
  <si>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</si>
  <si>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</si>
  <si>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</si>
  <si>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</si>
  <si>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</si>
  <si>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</si>
  <si>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</si>
  <si>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</si>
  <si>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</si>
  <si>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</si>
  <si>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</si>
  <si>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</si>
  <si>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</si>
  <si>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</si>
  <si>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</si>
  <si>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</si>
  <si>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</si>
  <si>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</si>
  <si>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</si>
  <si>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</si>
  <si>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</si>
  <si>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</si>
  <si>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</si>
  <si>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</si>
  <si>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</si>
  <si>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</si>
  <si>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</si>
  <si>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</si>
  <si>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</si>
  <si>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</si>
  <si>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</si>
  <si>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</si>
  <si>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</si>
  <si>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</si>
  <si>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</si>
  <si>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</si>
  <si>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</si>
  <si>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</si>
  <si>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</si>
  <si>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</si>
  <si>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</si>
  <si>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</si>
  <si>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</si>
  <si>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</si>
  <si>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</si>
  <si>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</si>
  <si>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</si>
  <si>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</si>
  <si>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</si>
  <si>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</si>
  <si>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</si>
  <si>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</si>
  <si>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</si>
  <si>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</si>
  <si>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</si>
  <si>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</si>
  <si>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</si>
  <si>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</si>
  <si>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</si>
  <si>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</si>
  <si>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</si>
  <si>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</si>
  <si>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</si>
  <si>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</si>
  <si>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</si>
  <si>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</si>
  <si>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</si>
  <si>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</si>
  <si>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</si>
  <si>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</si>
  <si>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</si>
  <si>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</si>
  <si>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</si>
  <si>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</si>
  <si>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</si>
  <si>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</si>
  <si>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</si>
  <si>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</si>
  <si>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</si>
  <si>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</si>
  <si>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</si>
  <si>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</si>
  <si>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</si>
  <si>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</si>
  <si>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</si>
  <si>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</si>
  <si>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</si>
  <si>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</si>
  <si>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</si>
  <si>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</si>
  <si>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</si>
  <si>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</si>
  <si>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</si>
  <si>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</si>
  <si>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</si>
  <si>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</si>
  <si>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</si>
  <si>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</si>
  <si>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</si>
  <si>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</si>
  <si>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</si>
  <si>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</si>
  <si>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</si>
  <si>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</si>
  <si>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</si>
  <si>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</si>
  <si>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</si>
  <si>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</si>
  <si>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</si>
  <si>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</si>
  <si>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</si>
  <si>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</si>
  <si>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</si>
  <si>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</si>
  <si>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</si>
  <si>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</si>
  <si>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</si>
  <si>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</si>
  <si>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</si>
  <si>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</si>
  <si>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</si>
  <si>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</si>
  <si>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</si>
  <si>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</si>
  <si>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</si>
  <si>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</si>
  <si>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</si>
  <si>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</si>
  <si>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</si>
  <si>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</si>
  <si>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</si>
  <si>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</si>
  <si>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</si>
  <si>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</si>
  <si>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</si>
  <si>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</si>
  <si>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</si>
  <si>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</si>
  <si>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</si>
  <si>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</si>
  <si>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</si>
  <si>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</si>
  <si>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</si>
  <si>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</si>
  <si>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</si>
  <si>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</si>
  <si>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</si>
  <si>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</si>
  <si>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</si>
  <si>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</si>
  <si>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</si>
  <si>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</si>
  <si>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</si>
  <si>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</si>
  <si>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</si>
  <si>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</si>
  <si>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</si>
  <si>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</si>
  <si>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</si>
  <si>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</si>
  <si>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</si>
  <si>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</si>
  <si>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</si>
  <si>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</si>
  <si>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</si>
  <si>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</si>
  <si>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</si>
  <si>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</si>
  <si>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</si>
  <si>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</si>
  <si>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</si>
  <si>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</si>
  <si>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</si>
  <si>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</si>
  <si>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</si>
  <si>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</si>
  <si>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</si>
  <si>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</si>
  <si>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</si>
  <si>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</si>
  <si>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</si>
  <si>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</si>
  <si>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</si>
  <si>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</si>
  <si>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</si>
  <si>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</si>
  <si>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</si>
  <si>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</si>
  <si>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</si>
  <si>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</si>
  <si>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</si>
  <si>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</si>
  <si>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</si>
  <si>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</si>
  <si>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</si>
  <si>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</si>
  <si>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</si>
  <si>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</si>
  <si>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</si>
  <si>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</si>
  <si>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</si>
  <si>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</si>
  <si>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</si>
  <si>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</si>
  <si>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</si>
  <si>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</si>
  <si>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</si>
  <si>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</si>
  <si>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</si>
  <si>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</si>
  <si>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</si>
  <si>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</si>
  <si>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</si>
  <si>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</si>
  <si>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</si>
  <si>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</si>
  <si>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</si>
  <si>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</si>
  <si>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</si>
  <si>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</si>
  <si>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</si>
  <si>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</si>
  <si>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</si>
  <si>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</si>
  <si>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</si>
  <si>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</si>
  <si>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</si>
  <si>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</si>
  <si>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</si>
  <si>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</si>
  <si>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</si>
  <si>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</si>
  <si>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</si>
  <si>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</si>
  <si>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</si>
  <si>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</si>
  <si>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</si>
  <si>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</si>
  <si>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</si>
  <si>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</si>
  <si>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</si>
  <si>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</si>
  <si>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</si>
  <si>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</si>
  <si>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</si>
  <si>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</si>
  <si>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</si>
  <si>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</si>
  <si>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</si>
  <si>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</si>
  <si>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</si>
  <si>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</si>
  <si>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</si>
  <si>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</si>
  <si>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</si>
  <si>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</si>
  <si>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</si>
  <si>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</si>
  <si>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</si>
  <si>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</si>
  <si>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</si>
  <si>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</si>
  <si>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</si>
  <si>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</si>
  <si>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</si>
  <si>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</si>
  <si>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</si>
  <si>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</si>
  <si>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</si>
  <si>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</si>
  <si>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</si>
  <si>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</si>
  <si>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</si>
  <si>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</si>
  <si>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</si>
  <si>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</si>
  <si>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</si>
  <si>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</si>
  <si>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</si>
  <si>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</si>
  <si>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</si>
  <si>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</si>
  <si>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</si>
  <si>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</si>
  <si>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</si>
  <si>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</si>
  <si>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</si>
  <si>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</si>
  <si>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</si>
  <si>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</si>
  <si>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</si>
  <si>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</si>
  <si>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</si>
  <si>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</si>
  <si>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</si>
  <si>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</si>
  <si>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</si>
  <si>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</si>
  <si>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</si>
  <si>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</si>
  <si>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</si>
  <si>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</si>
  <si>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</si>
  <si>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</si>
  <si>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</si>
  <si>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</si>
  <si>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</si>
  <si>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</si>
  <si>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</si>
  <si>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</si>
  <si>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</si>
  <si>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</si>
  <si>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</si>
  <si>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</si>
  <si>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</si>
  <si>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</si>
  <si>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</si>
  <si>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</si>
  <si>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</si>
  <si>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</si>
  <si>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</si>
  <si>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</si>
  <si>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</si>
  <si>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</si>
  <si>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</si>
  <si>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</si>
  <si>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</si>
  <si>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</si>
  <si>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</si>
  <si>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</si>
  <si>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</si>
  <si>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</si>
  <si>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</si>
  <si>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</si>
  <si>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</si>
  <si>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</si>
  <si>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</si>
  <si>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</si>
  <si>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</si>
  <si>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</si>
  <si>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</si>
  <si>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</si>
  <si>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</si>
  <si>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</si>
  <si>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</si>
  <si>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</si>
  <si>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</si>
  <si>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</si>
  <si>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</si>
  <si>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</si>
  <si>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</si>
  <si>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</si>
  <si>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</si>
  <si>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</si>
  <si>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</si>
  <si>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</si>
  <si>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</si>
  <si>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</si>
  <si>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</si>
  <si>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</si>
  <si>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</si>
  <si>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</si>
  <si>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</si>
  <si>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</si>
  <si>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</si>
  <si>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</si>
  <si>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</si>
  <si>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</si>
  <si>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</si>
  <si>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</si>
  <si>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</si>
  <si>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</si>
  <si>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</si>
  <si>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</si>
  <si>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</si>
  <si>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</si>
  <si>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</si>
  <si>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</si>
  <si>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</si>
  <si>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</si>
  <si>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</si>
  <si>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</si>
  <si>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</si>
  <si>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</si>
  <si>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</si>
  <si>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</si>
  <si>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</si>
  <si>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</si>
  <si>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</si>
  <si>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</si>
  <si>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</si>
  <si>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</si>
  <si>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</si>
  <si>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</si>
  <si>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</si>
  <si>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</si>
  <si>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</si>
  <si>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</si>
  <si>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</si>
  <si>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</si>
  <si>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</si>
  <si>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</si>
  <si>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</si>
  <si>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</si>
  <si>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</si>
  <si>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</si>
  <si>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</si>
  <si>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</si>
  <si>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</si>
  <si>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</si>
  <si>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</si>
  <si>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</si>
  <si>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</si>
  <si>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</si>
  <si>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</si>
  <si>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</si>
  <si>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</si>
  <si>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</si>
  <si>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</si>
  <si>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</si>
  <si>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</si>
  <si>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</si>
  <si>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</si>
  <si>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</si>
  <si>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</si>
  <si>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</si>
  <si>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</si>
  <si>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</si>
  <si>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</si>
  <si>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</si>
  <si>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</si>
  <si>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</si>
  <si>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audit adjustments to 2015 reported.</t>
  </si>
  <si>
    <t>audit adjustments to reported 2015 balances</t>
  </si>
  <si>
    <t xml:space="preserve"> audit adjustments to reported balances of 2015</t>
  </si>
  <si>
    <t>Monadnock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</si>
</sst>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10" fillId="0" borderId="0" xfId="0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5" t="s">
        <v>915</v>
      </c>
      <c r="B2" s="21">
        <v>363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1891956</v>
      </c>
      <c r="G9" s="18">
        <v>2329</v>
      </c>
      <c r="H9" s="18">
        <f>119292</f>
        <v>119292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850969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100408</v>
      </c>
      <c r="H12" s="18"/>
      <c r="I12" s="18">
        <v>721197</v>
      </c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16573</v>
      </c>
      <c r="H13" s="18">
        <v>676738</v>
      </c>
      <c r="I13" s="18"/>
      <c r="J13" s="67">
        <f>SUM(I442)</f>
        <v>530640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54071</v>
      </c>
      <c r="G14" s="18"/>
      <c r="H14" s="18">
        <v>71865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2796996</v>
      </c>
      <c r="G19" s="41">
        <f>SUM(G9:G18)</f>
        <v>119310</v>
      </c>
      <c r="H19" s="41">
        <f>SUM(H9:H18)</f>
        <v>867895</v>
      </c>
      <c r="I19" s="41">
        <f>SUM(I9:I18)</f>
        <v>721197</v>
      </c>
      <c r="J19" s="41">
        <f>SUM(J9:J18)</f>
        <v>530640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177984</v>
      </c>
      <c r="G22" s="18">
        <v>1159</v>
      </c>
      <c r="H22" s="18">
        <v>699954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113998</v>
      </c>
      <c r="G24" s="18">
        <v>3376</v>
      </c>
      <c r="H24" s="18">
        <v>16620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47222</v>
      </c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>
        <v>33308</v>
      </c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566546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858528</v>
      </c>
      <c r="G32" s="41">
        <f>SUM(G22:G31)</f>
        <v>4535</v>
      </c>
      <c r="H32" s="41">
        <f>SUM(H22:H31)</f>
        <v>749882</v>
      </c>
      <c r="I32" s="41">
        <f>SUM(I22:I31)</f>
        <v>47222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207245</v>
      </c>
      <c r="G43" s="18">
        <v>114775</v>
      </c>
      <c r="H43" s="18">
        <v>118013</v>
      </c>
      <c r="I43" s="18"/>
      <c r="J43" s="13">
        <f>SUM(I456)</f>
        <v>4491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104442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342884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526149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>
        <v>673975</v>
      </c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1233897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1938468</v>
      </c>
      <c r="G51" s="41">
        <f>SUM(G35:G50)</f>
        <v>114775</v>
      </c>
      <c r="H51" s="41">
        <f>SUM(H35:H50)</f>
        <v>118013</v>
      </c>
      <c r="I51" s="41">
        <f>SUM(I35:I50)</f>
        <v>673975</v>
      </c>
      <c r="J51" s="41">
        <f>SUM(J35:J50)</f>
        <v>530640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2796996</v>
      </c>
      <c r="G52" s="41">
        <f>G51+G32</f>
        <v>119310</v>
      </c>
      <c r="H52" s="41">
        <f>H51+H32</f>
        <v>867895</v>
      </c>
      <c r="I52" s="41">
        <f>I51+I32</f>
        <v>721197</v>
      </c>
      <c r="J52" s="41">
        <f>J51+J32</f>
        <v>530640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15984635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15984635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653341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73864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125110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198974</v>
      </c>
      <c r="G79" s="45" t="s">
        <v>289</v>
      </c>
      <c r="H79" s="41">
        <f>SUM(H63:H78)</f>
        <v>653341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710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364970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6844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4056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284</v>
      </c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1171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387351+2142</f>
        <v>389493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168207</v>
      </c>
      <c r="G110" s="18"/>
      <c r="H110" s="18">
        <v>92850</v>
      </c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562927</v>
      </c>
      <c r="G111" s="41">
        <f>SUM(G96:G110)</f>
        <v>364970</v>
      </c>
      <c r="H111" s="41">
        <f>SUM(H96:H110)</f>
        <v>99978</v>
      </c>
      <c r="I111" s="41">
        <f>SUM(I96:I110)</f>
        <v>0</v>
      </c>
      <c r="J111" s="41">
        <f>SUM(J96:J110)</f>
        <v>710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16746536</v>
      </c>
      <c r="G112" s="41">
        <f>G60+G111</f>
        <v>364970</v>
      </c>
      <c r="H112" s="41">
        <f>H60+H79+H94+H111</f>
        <v>753319</v>
      </c>
      <c r="I112" s="41">
        <f>I60+I111</f>
        <v>0</v>
      </c>
      <c r="J112" s="41">
        <f>J60+J111</f>
        <v>710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9715692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2398854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12114546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630701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251255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8301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2213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890257</v>
      </c>
      <c r="G136" s="41">
        <f>SUM(G123:G135)</f>
        <v>2213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13004803</v>
      </c>
      <c r="G140" s="41">
        <f>G121+SUM(G136:G137)</f>
        <v>2213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630603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916919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6311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478468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369499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369499</v>
      </c>
      <c r="G162" s="41">
        <f>SUM(G150:G161)</f>
        <v>478468</v>
      </c>
      <c r="H162" s="41">
        <f>SUM(H150:H161)</f>
        <v>1553833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5394</v>
      </c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369499</v>
      </c>
      <c r="G169" s="41">
        <f>G147+G162+SUM(G163:G168)</f>
        <v>478468</v>
      </c>
      <c r="H169" s="41">
        <f>H147+H162+SUM(H163:H168)</f>
        <v>1559227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>
        <v>1281000</v>
      </c>
      <c r="J179" s="18">
        <v>68500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33735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33735</v>
      </c>
      <c r="G183" s="41">
        <f>SUM(G179:G182)</f>
        <v>0</v>
      </c>
      <c r="H183" s="41">
        <f>SUM(H179:H182)</f>
        <v>0</v>
      </c>
      <c r="I183" s="41">
        <f>SUM(I179:I182)</f>
        <v>1281000</v>
      </c>
      <c r="J183" s="41">
        <f>SUM(J179:J182)</f>
        <v>68500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33735</v>
      </c>
      <c r="G192" s="41">
        <f>G183+SUM(G188:G191)</f>
        <v>0</v>
      </c>
      <c r="H192" s="41">
        <f>+H183+SUM(H188:H191)</f>
        <v>0</v>
      </c>
      <c r="I192" s="41">
        <f>I177+I183+SUM(I188:I191)</f>
        <v>1281000</v>
      </c>
      <c r="J192" s="41">
        <f>J183</f>
        <v>68500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30154573</v>
      </c>
      <c r="G193" s="47">
        <f>G112+G140+G169+G192</f>
        <v>845651</v>
      </c>
      <c r="H193" s="47">
        <f>H112+H140+H169+H192</f>
        <v>2312546</v>
      </c>
      <c r="I193" s="47">
        <f>I112+I140+I169+I192</f>
        <v>1281000</v>
      </c>
      <c r="J193" s="47">
        <f>J112+J140+J192</f>
        <v>69210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5805+3495153</f>
        <v>3500958</v>
      </c>
      <c r="G197" s="18">
        <f>863479+1094228</f>
        <v>1957707</v>
      </c>
      <c r="H197" s="18">
        <f>67050+1660</f>
        <v>68710</v>
      </c>
      <c r="I197" s="18">
        <f>118846</f>
        <v>118846</v>
      </c>
      <c r="J197" s="18">
        <v>15567</v>
      </c>
      <c r="K197" s="18">
        <v>9580</v>
      </c>
      <c r="L197" s="19">
        <f>SUM(F197:K197)</f>
        <v>5671368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1393091+150876</f>
        <v>1543967</v>
      </c>
      <c r="G198" s="18">
        <f>221517+1065647</f>
        <v>1287164</v>
      </c>
      <c r="H198" s="18">
        <f>791+1268907</f>
        <v>1269698</v>
      </c>
      <c r="I198" s="18">
        <f>4377+15938</f>
        <v>20315</v>
      </c>
      <c r="J198" s="18">
        <f>3000+2249</f>
        <v>5249</v>
      </c>
      <c r="K198" s="18">
        <f>1081</f>
        <v>1081</v>
      </c>
      <c r="L198" s="19">
        <f>SUM(F198:K198)</f>
        <v>4127474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2600</v>
      </c>
      <c r="G200" s="18">
        <v>323</v>
      </c>
      <c r="H200" s="18"/>
      <c r="I200" s="18"/>
      <c r="J200" s="18"/>
      <c r="K200" s="18"/>
      <c r="L200" s="19">
        <f>SUM(F200:K200)</f>
        <v>2923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402187+250698</f>
        <v>652885</v>
      </c>
      <c r="G202" s="18">
        <f>111106+97580+150934</f>
        <v>359620</v>
      </c>
      <c r="H202" s="18">
        <f>4231+668</f>
        <v>4899</v>
      </c>
      <c r="I202" s="18">
        <f>4211+3168</f>
        <v>7379</v>
      </c>
      <c r="J202" s="18">
        <v>210</v>
      </c>
      <c r="K202" s="18">
        <v>606</v>
      </c>
      <c r="L202" s="19">
        <f t="shared" ref="L202:L208" si="0">SUM(F202:K202)</f>
        <v>1025599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56150+89534</f>
        <v>145684</v>
      </c>
      <c r="G203" s="18">
        <f>86455+16941</f>
        <v>103396</v>
      </c>
      <c r="H203" s="18">
        <f>10653</f>
        <v>10653</v>
      </c>
      <c r="I203" s="18">
        <f>5515+1912</f>
        <v>7427</v>
      </c>
      <c r="J203" s="18"/>
      <c r="K203" s="18">
        <v>777</v>
      </c>
      <c r="L203" s="19">
        <f t="shared" si="0"/>
        <v>267937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127733</v>
      </c>
      <c r="G204" s="18">
        <v>35986</v>
      </c>
      <c r="H204" s="18">
        <v>94224</v>
      </c>
      <c r="I204" s="18">
        <v>7061</v>
      </c>
      <c r="J204" s="18">
        <v>4627</v>
      </c>
      <c r="K204" s="18">
        <v>35083</v>
      </c>
      <c r="L204" s="19">
        <f t="shared" si="0"/>
        <v>304714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32440+480078</f>
        <v>512518</v>
      </c>
      <c r="G205" s="18">
        <f>254077+7357</f>
        <v>261434</v>
      </c>
      <c r="H205" s="18">
        <f>68682+125</f>
        <v>68807</v>
      </c>
      <c r="I205" s="18">
        <f>3420+832</f>
        <v>4252</v>
      </c>
      <c r="J205" s="18">
        <v>740</v>
      </c>
      <c r="K205" s="18">
        <f>3738</f>
        <v>3738</v>
      </c>
      <c r="L205" s="19">
        <f t="shared" si="0"/>
        <v>851489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170588</v>
      </c>
      <c r="G206" s="18">
        <v>131149</v>
      </c>
      <c r="H206" s="18">
        <v>106470</v>
      </c>
      <c r="I206" s="18">
        <v>0</v>
      </c>
      <c r="J206" s="18">
        <v>5790</v>
      </c>
      <c r="K206" s="18">
        <v>94</v>
      </c>
      <c r="L206" s="19">
        <f t="shared" si="0"/>
        <v>414091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214135+295255</f>
        <v>509390</v>
      </c>
      <c r="G207" s="18">
        <f>146426+99018</f>
        <v>245444</v>
      </c>
      <c r="H207" s="18">
        <f>12298+107238</f>
        <v>119536</v>
      </c>
      <c r="I207" s="18">
        <f>229947+25754</f>
        <v>255701</v>
      </c>
      <c r="J207" s="18">
        <f>31661+10766</f>
        <v>42427</v>
      </c>
      <c r="K207" s="18">
        <v>25</v>
      </c>
      <c r="L207" s="19">
        <f t="shared" si="0"/>
        <v>1172523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55096</v>
      </c>
      <c r="G208" s="18">
        <v>4759</v>
      </c>
      <c r="H208" s="18">
        <f>550821+166380</f>
        <v>717201</v>
      </c>
      <c r="I208" s="18">
        <v>14849</v>
      </c>
      <c r="J208" s="18"/>
      <c r="K208" s="18"/>
      <c r="L208" s="19">
        <f t="shared" si="0"/>
        <v>791905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197944</v>
      </c>
      <c r="G209" s="18">
        <v>87514</v>
      </c>
      <c r="H209" s="18">
        <v>240866</v>
      </c>
      <c r="I209" s="18">
        <v>99553</v>
      </c>
      <c r="J209" s="18">
        <v>113606</v>
      </c>
      <c r="K209" s="18"/>
      <c r="L209" s="19">
        <f>SUM(F209:K209)</f>
        <v>739483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7419363</v>
      </c>
      <c r="G211" s="41">
        <f t="shared" si="1"/>
        <v>4474496</v>
      </c>
      <c r="H211" s="41">
        <f t="shared" si="1"/>
        <v>2701064</v>
      </c>
      <c r="I211" s="41">
        <f t="shared" si="1"/>
        <v>535383</v>
      </c>
      <c r="J211" s="41">
        <f t="shared" si="1"/>
        <v>188216</v>
      </c>
      <c r="K211" s="41">
        <f t="shared" si="1"/>
        <v>50984</v>
      </c>
      <c r="L211" s="41">
        <f t="shared" si="1"/>
        <v>15369506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1064807+1821</f>
        <v>1066628</v>
      </c>
      <c r="G215" s="18">
        <f>343287+277495</f>
        <v>620782</v>
      </c>
      <c r="H215" s="18">
        <f>6124+21035</f>
        <v>27159</v>
      </c>
      <c r="I215" s="18">
        <f>43692</f>
        <v>43692</v>
      </c>
      <c r="J215" s="18">
        <v>6606</v>
      </c>
      <c r="K215" s="18">
        <f>94+3005</f>
        <v>3099</v>
      </c>
      <c r="L215" s="19">
        <f>SUM(F215:K215)</f>
        <v>1767966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47334+349413</f>
        <v>396747</v>
      </c>
      <c r="G216" s="18">
        <f>247600+69496</f>
        <v>317096</v>
      </c>
      <c r="H216" s="18">
        <f>398088+982</f>
        <v>399070</v>
      </c>
      <c r="I216" s="18">
        <f>10006+1373</f>
        <v>11379</v>
      </c>
      <c r="J216" s="18">
        <v>705</v>
      </c>
      <c r="K216" s="18">
        <v>339</v>
      </c>
      <c r="L216" s="19">
        <f>SUM(F216:K216)</f>
        <v>1125336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57927</v>
      </c>
      <c r="G218" s="18">
        <v>4912</v>
      </c>
      <c r="H218" s="18">
        <v>13587</v>
      </c>
      <c r="I218" s="18">
        <v>14438</v>
      </c>
      <c r="J218" s="18">
        <v>1681</v>
      </c>
      <c r="K218" s="18">
        <v>2043</v>
      </c>
      <c r="L218" s="19">
        <f>SUM(F218:K218)</f>
        <v>94588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78650+94389</f>
        <v>173039</v>
      </c>
      <c r="G220" s="18">
        <f>30701+34857+27672</f>
        <v>93230</v>
      </c>
      <c r="H220" s="18">
        <f>1328+1625</f>
        <v>2953</v>
      </c>
      <c r="I220" s="18">
        <f>5967+994</f>
        <v>6961</v>
      </c>
      <c r="J220" s="18"/>
      <c r="K220" s="18">
        <f>18+3409</f>
        <v>3427</v>
      </c>
      <c r="L220" s="19">
        <f t="shared" ref="L220:L226" si="2">SUM(F220:K220)</f>
        <v>279610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17616+55339</f>
        <v>72955</v>
      </c>
      <c r="G221" s="18">
        <f>20157+5315</f>
        <v>25472</v>
      </c>
      <c r="H221" s="18">
        <f>3342+2818</f>
        <v>6160</v>
      </c>
      <c r="I221" s="18">
        <f>9310+600</f>
        <v>9910</v>
      </c>
      <c r="J221" s="18"/>
      <c r="K221" s="18">
        <f>244</f>
        <v>244</v>
      </c>
      <c r="L221" s="19">
        <f t="shared" si="2"/>
        <v>114741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40073</v>
      </c>
      <c r="G222" s="18">
        <v>11290</v>
      </c>
      <c r="H222" s="18">
        <v>29560</v>
      </c>
      <c r="I222" s="18">
        <v>2215</v>
      </c>
      <c r="J222" s="18">
        <v>1452</v>
      </c>
      <c r="K222" s="18">
        <v>11006</v>
      </c>
      <c r="L222" s="19">
        <f t="shared" si="2"/>
        <v>95596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10177+120751</f>
        <v>130928</v>
      </c>
      <c r="G223" s="18">
        <f>65550+2308</f>
        <v>67858</v>
      </c>
      <c r="H223" s="18">
        <f>8+18956</f>
        <v>18964</v>
      </c>
      <c r="I223" s="18">
        <f>349+261</f>
        <v>610</v>
      </c>
      <c r="J223" s="18"/>
      <c r="K223" s="18">
        <v>1911</v>
      </c>
      <c r="L223" s="19">
        <f t="shared" si="2"/>
        <v>220271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53518</v>
      </c>
      <c r="G224" s="18">
        <v>41145</v>
      </c>
      <c r="H224" s="18">
        <v>33402</v>
      </c>
      <c r="I224" s="18"/>
      <c r="J224" s="18">
        <v>1816</v>
      </c>
      <c r="K224" s="18">
        <v>30</v>
      </c>
      <c r="L224" s="19">
        <f t="shared" si="2"/>
        <v>129911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67180+94482</f>
        <v>161662</v>
      </c>
      <c r="G225" s="18">
        <f>50845+31064</f>
        <v>81909</v>
      </c>
      <c r="H225" s="18">
        <f>3858+27043</f>
        <v>30901</v>
      </c>
      <c r="I225" s="18">
        <f>65392+8080</f>
        <v>73472</v>
      </c>
      <c r="J225" s="18">
        <f>3378+3217</f>
        <v>6595</v>
      </c>
      <c r="K225" s="18">
        <v>8</v>
      </c>
      <c r="L225" s="19">
        <f t="shared" si="2"/>
        <v>354547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17285</v>
      </c>
      <c r="G226" s="18">
        <v>1493</v>
      </c>
      <c r="H226" s="18">
        <f>213674+52197+660</f>
        <v>266531</v>
      </c>
      <c r="I226" s="18">
        <v>4659</v>
      </c>
      <c r="J226" s="18"/>
      <c r="K226" s="18"/>
      <c r="L226" s="19">
        <f t="shared" si="2"/>
        <v>289968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62100</v>
      </c>
      <c r="G227" s="18">
        <v>27456</v>
      </c>
      <c r="H227" s="18">
        <v>62899</v>
      </c>
      <c r="I227" s="18">
        <v>31232</v>
      </c>
      <c r="J227" s="18">
        <v>35641</v>
      </c>
      <c r="K227" s="18"/>
      <c r="L227" s="19">
        <f>SUM(F227:K227)</f>
        <v>219328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2232862</v>
      </c>
      <c r="G229" s="41">
        <f>SUM(G215:G228)</f>
        <v>1292643</v>
      </c>
      <c r="H229" s="41">
        <f>SUM(H215:H228)</f>
        <v>891186</v>
      </c>
      <c r="I229" s="41">
        <f>SUM(I215:I228)</f>
        <v>198568</v>
      </c>
      <c r="J229" s="41">
        <f>SUM(J215:J228)</f>
        <v>54496</v>
      </c>
      <c r="K229" s="41">
        <f t="shared" si="3"/>
        <v>22107</v>
      </c>
      <c r="L229" s="41">
        <f t="shared" si="3"/>
        <v>4691862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3756+2161882</f>
        <v>2165638</v>
      </c>
      <c r="G233" s="18">
        <f>563399+708030</f>
        <v>1271429</v>
      </c>
      <c r="H233" s="18">
        <f>43385+12434</f>
        <v>55819</v>
      </c>
      <c r="I233" s="18">
        <f>88708</f>
        <v>88708</v>
      </c>
      <c r="J233" s="18">
        <f>13411</f>
        <v>13411</v>
      </c>
      <c r="K233" s="18">
        <f>191+6199</f>
        <v>6390</v>
      </c>
      <c r="L233" s="19">
        <f>SUM(F233:K233)</f>
        <v>3601395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709415+97626</f>
        <v>807041</v>
      </c>
      <c r="G234" s="18">
        <f>143335+502703</f>
        <v>646038</v>
      </c>
      <c r="H234" s="18">
        <f>1995+821057</f>
        <v>823052</v>
      </c>
      <c r="I234" s="18">
        <f>2832+20316</f>
        <v>23148</v>
      </c>
      <c r="J234" s="18">
        <v>1455</v>
      </c>
      <c r="K234" s="18">
        <v>700</v>
      </c>
      <c r="L234" s="19">
        <f>SUM(F234:K234)</f>
        <v>2301434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69324</v>
      </c>
      <c r="I235" s="18"/>
      <c r="J235" s="18"/>
      <c r="K235" s="18"/>
      <c r="L235" s="19">
        <f>SUM(F235:K235)</f>
        <v>69324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117609</v>
      </c>
      <c r="G236" s="18">
        <v>9974</v>
      </c>
      <c r="H236" s="18">
        <v>27587</v>
      </c>
      <c r="I236" s="18">
        <v>29312</v>
      </c>
      <c r="J236" s="18">
        <v>3412</v>
      </c>
      <c r="K236" s="18">
        <v>4149</v>
      </c>
      <c r="L236" s="19">
        <f>SUM(F236:K236)</f>
        <v>192043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191640+162215</f>
        <v>353855</v>
      </c>
      <c r="G238" s="18">
        <f>62331+71893+56182</f>
        <v>190406</v>
      </c>
      <c r="H238" s="18">
        <f>2738+3298</f>
        <v>6036</v>
      </c>
      <c r="I238" s="18">
        <f>12115+2050</f>
        <v>14165</v>
      </c>
      <c r="J238" s="18"/>
      <c r="K238" s="18">
        <f>36+6923</f>
        <v>6959</v>
      </c>
      <c r="L238" s="19">
        <f t="shared" ref="L238:L244" si="4">SUM(F238:K238)</f>
        <v>571421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36332+112355</f>
        <v>148687</v>
      </c>
      <c r="G239" s="18">
        <f>40925+10962</f>
        <v>51887</v>
      </c>
      <c r="H239" s="18">
        <f>6893+5723</f>
        <v>12616</v>
      </c>
      <c r="I239" s="18">
        <f>18903+1237</f>
        <v>20140</v>
      </c>
      <c r="J239" s="18"/>
      <c r="K239" s="18">
        <f>503</f>
        <v>503</v>
      </c>
      <c r="L239" s="19">
        <f t="shared" si="4"/>
        <v>233833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82650</v>
      </c>
      <c r="G240" s="18">
        <v>23285</v>
      </c>
      <c r="H240" s="18">
        <v>60968</v>
      </c>
      <c r="I240" s="18">
        <v>4569</v>
      </c>
      <c r="J240" s="18">
        <v>2994</v>
      </c>
      <c r="K240" s="18">
        <v>22701</v>
      </c>
      <c r="L240" s="19">
        <f t="shared" si="4"/>
        <v>197167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20990+245162</f>
        <v>266152</v>
      </c>
      <c r="G241" s="18">
        <f>133087+4760</f>
        <v>137847</v>
      </c>
      <c r="H241" s="18">
        <f>16+38487</f>
        <v>38503</v>
      </c>
      <c r="I241" s="18">
        <f>708+539</f>
        <v>1247</v>
      </c>
      <c r="J241" s="18">
        <v>0</v>
      </c>
      <c r="K241" s="18">
        <v>3879</v>
      </c>
      <c r="L241" s="19">
        <f t="shared" si="4"/>
        <v>447628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110381</v>
      </c>
      <c r="G242" s="18">
        <v>84861</v>
      </c>
      <c r="H242" s="18">
        <v>68892</v>
      </c>
      <c r="I242" s="18"/>
      <c r="J242" s="18">
        <v>3746</v>
      </c>
      <c r="K242" s="18">
        <v>61</v>
      </c>
      <c r="L242" s="19">
        <f t="shared" si="4"/>
        <v>267941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191827+138558</f>
        <v>330385</v>
      </c>
      <c r="G243" s="18">
        <f>64070+103230</f>
        <v>167300</v>
      </c>
      <c r="H243" s="18">
        <f>54906+7957</f>
        <v>62863</v>
      </c>
      <c r="I243" s="18">
        <f>16664+132766</f>
        <v>149430</v>
      </c>
      <c r="J243" s="18">
        <f>6532+6966</f>
        <v>13498</v>
      </c>
      <c r="K243" s="18">
        <v>17</v>
      </c>
      <c r="L243" s="19">
        <f t="shared" si="4"/>
        <v>723493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35650</v>
      </c>
      <c r="G244" s="18">
        <v>3080</v>
      </c>
      <c r="H244" s="18">
        <f>458462+107658+1340</f>
        <v>567460</v>
      </c>
      <c r="I244" s="18">
        <v>9608</v>
      </c>
      <c r="J244" s="18"/>
      <c r="K244" s="18"/>
      <c r="L244" s="19">
        <f t="shared" si="4"/>
        <v>615798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128081</v>
      </c>
      <c r="G245" s="18">
        <v>56627</v>
      </c>
      <c r="H245" s="18">
        <v>129506</v>
      </c>
      <c r="I245" s="18">
        <v>64417</v>
      </c>
      <c r="J245" s="18">
        <v>73509</v>
      </c>
      <c r="K245" s="18"/>
      <c r="L245" s="19">
        <f>SUM(F245:K245)</f>
        <v>452140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4546129</v>
      </c>
      <c r="G247" s="41">
        <f t="shared" si="5"/>
        <v>2642734</v>
      </c>
      <c r="H247" s="41">
        <f t="shared" si="5"/>
        <v>1922626</v>
      </c>
      <c r="I247" s="41">
        <f t="shared" si="5"/>
        <v>404744</v>
      </c>
      <c r="J247" s="41">
        <f t="shared" si="5"/>
        <v>112025</v>
      </c>
      <c r="K247" s="41">
        <f t="shared" si="5"/>
        <v>45359</v>
      </c>
      <c r="L247" s="41">
        <f t="shared" si="5"/>
        <v>9673617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14198354</v>
      </c>
      <c r="G257" s="41">
        <f t="shared" si="8"/>
        <v>8409873</v>
      </c>
      <c r="H257" s="41">
        <f t="shared" si="8"/>
        <v>5514876</v>
      </c>
      <c r="I257" s="41">
        <f t="shared" si="8"/>
        <v>1138695</v>
      </c>
      <c r="J257" s="41">
        <f t="shared" si="8"/>
        <v>354737</v>
      </c>
      <c r="K257" s="41">
        <f t="shared" si="8"/>
        <v>118450</v>
      </c>
      <c r="L257" s="41">
        <f t="shared" si="8"/>
        <v>29734985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1281000</v>
      </c>
      <c r="L265" s="19">
        <f t="shared" si="9"/>
        <v>1281000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68500</v>
      </c>
      <c r="L266" s="19">
        <f t="shared" si="9"/>
        <v>68500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1349500</v>
      </c>
      <c r="L270" s="41">
        <f t="shared" si="9"/>
        <v>1349500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14198354</v>
      </c>
      <c r="G271" s="42">
        <f t="shared" si="11"/>
        <v>8409873</v>
      </c>
      <c r="H271" s="42">
        <f t="shared" si="11"/>
        <v>5514876</v>
      </c>
      <c r="I271" s="42">
        <f t="shared" si="11"/>
        <v>1138695</v>
      </c>
      <c r="J271" s="42">
        <f t="shared" si="11"/>
        <v>354737</v>
      </c>
      <c r="K271" s="42">
        <f t="shared" si="11"/>
        <v>1467950</v>
      </c>
      <c r="L271" s="42">
        <f t="shared" si="11"/>
        <v>31084485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110362</v>
      </c>
      <c r="G276" s="18">
        <v>55589</v>
      </c>
      <c r="H276" s="18"/>
      <c r="I276" s="18"/>
      <c r="J276" s="18"/>
      <c r="K276" s="18"/>
      <c r="L276" s="19">
        <f>SUM(F276:K276)</f>
        <v>165951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137781</v>
      </c>
      <c r="G277" s="18">
        <v>86651</v>
      </c>
      <c r="H277" s="18"/>
      <c r="I277" s="18"/>
      <c r="J277" s="18"/>
      <c r="K277" s="18"/>
      <c r="L277" s="19">
        <f>SUM(F277:K277)</f>
        <v>224432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324205</v>
      </c>
      <c r="G279" s="18">
        <v>33302</v>
      </c>
      <c r="H279" s="18">
        <v>23998</v>
      </c>
      <c r="I279" s="18">
        <v>27125</v>
      </c>
      <c r="J279" s="18">
        <v>1081</v>
      </c>
      <c r="K279" s="18"/>
      <c r="L279" s="19">
        <f>SUM(F279:K279)</f>
        <v>409711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28616</v>
      </c>
      <c r="G281" s="18">
        <v>21313</v>
      </c>
      <c r="H281" s="18">
        <v>1095</v>
      </c>
      <c r="I281" s="18">
        <v>6172</v>
      </c>
      <c r="J281" s="18"/>
      <c r="K281" s="18"/>
      <c r="L281" s="19">
        <f t="shared" ref="L281:L287" si="12">SUM(F281:K281)</f>
        <v>57196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29400</v>
      </c>
      <c r="G282" s="18">
        <v>5210</v>
      </c>
      <c r="H282" s="18">
        <v>86079</v>
      </c>
      <c r="I282" s="18">
        <v>26928</v>
      </c>
      <c r="J282" s="18">
        <v>535</v>
      </c>
      <c r="K282" s="18"/>
      <c r="L282" s="19">
        <f t="shared" si="12"/>
        <v>148152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62217</v>
      </c>
      <c r="G283" s="18">
        <v>33566</v>
      </c>
      <c r="H283" s="18">
        <f>1234-89</f>
        <v>1145</v>
      </c>
      <c r="I283" s="18">
        <v>944</v>
      </c>
      <c r="J283" s="18"/>
      <c r="K283" s="18"/>
      <c r="L283" s="19">
        <f t="shared" si="12"/>
        <v>97872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19531</v>
      </c>
      <c r="G284" s="18">
        <v>8011</v>
      </c>
      <c r="H284" s="18">
        <v>393</v>
      </c>
      <c r="I284" s="18">
        <v>1523</v>
      </c>
      <c r="J284" s="18"/>
      <c r="K284" s="18"/>
      <c r="L284" s="19">
        <f t="shared" si="12"/>
        <v>29458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11116</v>
      </c>
      <c r="I287" s="18"/>
      <c r="J287" s="18"/>
      <c r="K287" s="18"/>
      <c r="L287" s="19">
        <f t="shared" si="12"/>
        <v>11116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712112</v>
      </c>
      <c r="G290" s="42">
        <f t="shared" si="13"/>
        <v>243642</v>
      </c>
      <c r="H290" s="42">
        <f t="shared" si="13"/>
        <v>123826</v>
      </c>
      <c r="I290" s="42">
        <f t="shared" si="13"/>
        <v>62692</v>
      </c>
      <c r="J290" s="42">
        <f t="shared" si="13"/>
        <v>1616</v>
      </c>
      <c r="K290" s="42">
        <f t="shared" si="13"/>
        <v>0</v>
      </c>
      <c r="L290" s="41">
        <f t="shared" si="13"/>
        <v>1143888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34624</v>
      </c>
      <c r="G295" s="18">
        <v>17440</v>
      </c>
      <c r="H295" s="18"/>
      <c r="I295" s="18"/>
      <c r="J295" s="18"/>
      <c r="K295" s="18"/>
      <c r="L295" s="19">
        <f>SUM(F295:K295)</f>
        <v>52064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43225</v>
      </c>
      <c r="G296" s="18">
        <v>27185</v>
      </c>
      <c r="H296" s="18"/>
      <c r="I296" s="18"/>
      <c r="J296" s="18"/>
      <c r="K296" s="18"/>
      <c r="L296" s="19">
        <f>SUM(F296:K296)</f>
        <v>70410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101711</v>
      </c>
      <c r="G298" s="18">
        <v>10448</v>
      </c>
      <c r="H298" s="18">
        <v>7529</v>
      </c>
      <c r="I298" s="18">
        <v>8510</v>
      </c>
      <c r="J298" s="18">
        <v>339</v>
      </c>
      <c r="K298" s="18"/>
      <c r="L298" s="19">
        <f>SUM(F298:K298)</f>
        <v>128537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8978</v>
      </c>
      <c r="G300" s="18">
        <v>6686</v>
      </c>
      <c r="H300" s="18">
        <v>344</v>
      </c>
      <c r="I300" s="18">
        <v>1936</v>
      </c>
      <c r="J300" s="18"/>
      <c r="K300" s="18"/>
      <c r="L300" s="19">
        <f t="shared" ref="L300:L306" si="14">SUM(F300:K300)</f>
        <v>17944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9224</v>
      </c>
      <c r="G301" s="18">
        <v>1634</v>
      </c>
      <c r="H301" s="18">
        <v>27005</v>
      </c>
      <c r="I301" s="18">
        <v>8448</v>
      </c>
      <c r="J301" s="18">
        <v>168</v>
      </c>
      <c r="K301" s="18"/>
      <c r="L301" s="19">
        <f t="shared" si="14"/>
        <v>46479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19519</v>
      </c>
      <c r="G302" s="18">
        <v>10531</v>
      </c>
      <c r="H302" s="18">
        <v>387</v>
      </c>
      <c r="I302" s="18">
        <v>296</v>
      </c>
      <c r="J302" s="18"/>
      <c r="K302" s="18"/>
      <c r="L302" s="19">
        <f t="shared" si="14"/>
        <v>30733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6128</v>
      </c>
      <c r="G303" s="18">
        <v>2513</v>
      </c>
      <c r="H303" s="18">
        <v>123</v>
      </c>
      <c r="I303" s="18">
        <v>478</v>
      </c>
      <c r="J303" s="18"/>
      <c r="K303" s="18"/>
      <c r="L303" s="19">
        <f t="shared" si="14"/>
        <v>9242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3487</v>
      </c>
      <c r="I306" s="18"/>
      <c r="J306" s="18"/>
      <c r="K306" s="18"/>
      <c r="L306" s="19">
        <f t="shared" si="14"/>
        <v>3487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223409</v>
      </c>
      <c r="G309" s="42">
        <f t="shared" si="15"/>
        <v>76437</v>
      </c>
      <c r="H309" s="42">
        <f t="shared" si="15"/>
        <v>38875</v>
      </c>
      <c r="I309" s="42">
        <f t="shared" si="15"/>
        <v>19668</v>
      </c>
      <c r="J309" s="42">
        <f t="shared" si="15"/>
        <v>507</v>
      </c>
      <c r="K309" s="42">
        <f t="shared" si="15"/>
        <v>0</v>
      </c>
      <c r="L309" s="41">
        <f t="shared" si="15"/>
        <v>358896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71411+5118</f>
        <v>76529</v>
      </c>
      <c r="G314" s="18">
        <f>35969+1193</f>
        <v>37162</v>
      </c>
      <c r="H314" s="18"/>
      <c r="I314" s="18"/>
      <c r="J314" s="18"/>
      <c r="K314" s="18"/>
      <c r="L314" s="19">
        <f>SUM(F314:K314)</f>
        <v>113691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89153+302</f>
        <v>89455</v>
      </c>
      <c r="G315" s="18">
        <f>56068+2071</f>
        <v>58139</v>
      </c>
      <c r="H315" s="18"/>
      <c r="I315" s="18"/>
      <c r="J315" s="18"/>
      <c r="K315" s="18"/>
      <c r="L315" s="19">
        <f>SUM(F315:K315)</f>
        <v>147594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209780</v>
      </c>
      <c r="G317" s="18">
        <v>21548</v>
      </c>
      <c r="H317" s="18">
        <v>15528</v>
      </c>
      <c r="I317" s="18">
        <v>17552</v>
      </c>
      <c r="J317" s="18">
        <v>699</v>
      </c>
      <c r="K317" s="18"/>
      <c r="L317" s="19">
        <f>SUM(F317:K317)</f>
        <v>265107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18517</v>
      </c>
      <c r="G319" s="18">
        <v>13791</v>
      </c>
      <c r="H319" s="18">
        <v>709</v>
      </c>
      <c r="I319" s="18">
        <f>3993-288</f>
        <v>3705</v>
      </c>
      <c r="J319" s="18"/>
      <c r="K319" s="18"/>
      <c r="L319" s="19">
        <f t="shared" ref="L319:L325" si="16">SUM(F319:K319)</f>
        <v>36722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19024</v>
      </c>
      <c r="G320" s="18">
        <v>3371</v>
      </c>
      <c r="H320" s="18">
        <v>55698</v>
      </c>
      <c r="I320" s="18">
        <v>17424</v>
      </c>
      <c r="J320" s="18">
        <v>346</v>
      </c>
      <c r="K320" s="18"/>
      <c r="L320" s="19">
        <f t="shared" si="16"/>
        <v>95863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40258</v>
      </c>
      <c r="G321" s="18">
        <v>21719</v>
      </c>
      <c r="H321" s="18">
        <v>799</v>
      </c>
      <c r="I321" s="18">
        <v>611</v>
      </c>
      <c r="J321" s="18"/>
      <c r="K321" s="18"/>
      <c r="L321" s="19">
        <f t="shared" si="16"/>
        <v>63387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12638</v>
      </c>
      <c r="G322" s="18">
        <v>5183</v>
      </c>
      <c r="H322" s="18">
        <v>254</v>
      </c>
      <c r="I322" s="18">
        <v>986</v>
      </c>
      <c r="J322" s="18"/>
      <c r="K322" s="18"/>
      <c r="L322" s="19">
        <f t="shared" si="16"/>
        <v>19061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7192</v>
      </c>
      <c r="I325" s="18"/>
      <c r="J325" s="18"/>
      <c r="K325" s="18"/>
      <c r="L325" s="19">
        <f t="shared" si="16"/>
        <v>7192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466201</v>
      </c>
      <c r="G328" s="42">
        <f t="shared" si="17"/>
        <v>160913</v>
      </c>
      <c r="H328" s="42">
        <f t="shared" si="17"/>
        <v>80180</v>
      </c>
      <c r="I328" s="42">
        <f t="shared" si="17"/>
        <v>40278</v>
      </c>
      <c r="J328" s="42">
        <f t="shared" si="17"/>
        <v>1045</v>
      </c>
      <c r="K328" s="42">
        <f t="shared" si="17"/>
        <v>0</v>
      </c>
      <c r="L328" s="41">
        <f t="shared" si="17"/>
        <v>748617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1401722</v>
      </c>
      <c r="G338" s="41">
        <f t="shared" si="20"/>
        <v>480992</v>
      </c>
      <c r="H338" s="41">
        <f t="shared" si="20"/>
        <v>242881</v>
      </c>
      <c r="I338" s="41">
        <f t="shared" si="20"/>
        <v>122638</v>
      </c>
      <c r="J338" s="41">
        <f t="shared" si="20"/>
        <v>3168</v>
      </c>
      <c r="K338" s="41">
        <f t="shared" si="20"/>
        <v>0</v>
      </c>
      <c r="L338" s="41">
        <f t="shared" si="20"/>
        <v>2251401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33735</v>
      </c>
      <c r="L344" s="19">
        <f t="shared" ref="L344:L350" si="21">SUM(F344:K344)</f>
        <v>33735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33735</v>
      </c>
      <c r="L351" s="41">
        <f>SUM(L341:L350)</f>
        <v>33735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1401722</v>
      </c>
      <c r="G352" s="41">
        <f>G338</f>
        <v>480992</v>
      </c>
      <c r="H352" s="41">
        <f>H338</f>
        <v>242881</v>
      </c>
      <c r="I352" s="41">
        <f>I338</f>
        <v>122638</v>
      </c>
      <c r="J352" s="41">
        <f>J338</f>
        <v>3168</v>
      </c>
      <c r="K352" s="47">
        <f>K338+K351</f>
        <v>33735</v>
      </c>
      <c r="L352" s="41">
        <f>L338+L351</f>
        <v>2285136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171951</v>
      </c>
      <c r="G358" s="18">
        <v>80282</v>
      </c>
      <c r="H358" s="18">
        <v>6333</v>
      </c>
      <c r="I358" s="18">
        <v>191639</v>
      </c>
      <c r="J358" s="18">
        <v>378</v>
      </c>
      <c r="K358" s="18">
        <v>317</v>
      </c>
      <c r="L358" s="13">
        <f>SUM(F358:K358)</f>
        <v>450900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53946</v>
      </c>
      <c r="G359" s="18">
        <v>25186</v>
      </c>
      <c r="H359" s="18">
        <v>1987</v>
      </c>
      <c r="I359" s="18">
        <v>60122</v>
      </c>
      <c r="J359" s="18">
        <v>119</v>
      </c>
      <c r="K359" s="18">
        <v>100</v>
      </c>
      <c r="L359" s="19">
        <f>SUM(F359:K359)</f>
        <v>141460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111263</v>
      </c>
      <c r="G360" s="18">
        <v>51947</v>
      </c>
      <c r="H360" s="18">
        <v>4097</v>
      </c>
      <c r="I360" s="18">
        <v>124001</v>
      </c>
      <c r="J360" s="18">
        <v>245</v>
      </c>
      <c r="K360" s="18">
        <v>205</v>
      </c>
      <c r="L360" s="19">
        <f>SUM(F360:K360)</f>
        <v>291758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337160</v>
      </c>
      <c r="G362" s="47">
        <f t="shared" si="22"/>
        <v>157415</v>
      </c>
      <c r="H362" s="47">
        <f t="shared" si="22"/>
        <v>12417</v>
      </c>
      <c r="I362" s="47">
        <f t="shared" si="22"/>
        <v>375762</v>
      </c>
      <c r="J362" s="47">
        <f t="shared" si="22"/>
        <v>742</v>
      </c>
      <c r="K362" s="47">
        <f t="shared" si="22"/>
        <v>622</v>
      </c>
      <c r="L362" s="47">
        <f t="shared" si="22"/>
        <v>884118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177625</v>
      </c>
      <c r="G367" s="18">
        <v>55725</v>
      </c>
      <c r="H367" s="18">
        <v>114933</v>
      </c>
      <c r="I367" s="56">
        <f>SUM(F367:H367)</f>
        <v>348283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14014</v>
      </c>
      <c r="G368" s="63">
        <v>4397</v>
      </c>
      <c r="H368" s="63">
        <v>9068</v>
      </c>
      <c r="I368" s="56">
        <f>SUM(F368:H368)</f>
        <v>27479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191639</v>
      </c>
      <c r="G369" s="47">
        <f>SUM(G367:G368)</f>
        <v>60122</v>
      </c>
      <c r="H369" s="47">
        <f>SUM(H367:H368)</f>
        <v>124001</v>
      </c>
      <c r="I369" s="47">
        <f>SUM(I367:I368)</f>
        <v>375762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690463</v>
      </c>
      <c r="I379" s="18"/>
      <c r="J379" s="18"/>
      <c r="K379" s="18"/>
      <c r="L379" s="13">
        <f t="shared" si="23"/>
        <v>690463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690463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690463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6</v>
      </c>
      <c r="I389" s="18"/>
      <c r="J389" s="24" t="s">
        <v>289</v>
      </c>
      <c r="K389" s="24" t="s">
        <v>289</v>
      </c>
      <c r="L389" s="56">
        <f t="shared" si="25"/>
        <v>6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75</v>
      </c>
      <c r="I395" s="18"/>
      <c r="J395" s="24" t="s">
        <v>289</v>
      </c>
      <c r="K395" s="24" t="s">
        <v>289</v>
      </c>
      <c r="L395" s="56">
        <f t="shared" ref="L395:L400" si="26">SUM(F395:K395)</f>
        <v>75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80</v>
      </c>
      <c r="I396" s="18"/>
      <c r="J396" s="24" t="s">
        <v>289</v>
      </c>
      <c r="K396" s="24" t="s">
        <v>289</v>
      </c>
      <c r="L396" s="56">
        <f t="shared" si="26"/>
        <v>80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360</v>
      </c>
      <c r="I397" s="18"/>
      <c r="J397" s="24" t="s">
        <v>289</v>
      </c>
      <c r="K397" s="24" t="s">
        <v>289</v>
      </c>
      <c r="L397" s="56">
        <f t="shared" si="26"/>
        <v>360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68500</v>
      </c>
      <c r="H400" s="18">
        <v>189</v>
      </c>
      <c r="I400" s="18"/>
      <c r="J400" s="24" t="s">
        <v>289</v>
      </c>
      <c r="K400" s="24" t="s">
        <v>289</v>
      </c>
      <c r="L400" s="56">
        <f t="shared" si="26"/>
        <v>68689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68500</v>
      </c>
      <c r="H401" s="47">
        <f>SUM(H395:H400)</f>
        <v>704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69204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68500</v>
      </c>
      <c r="H408" s="47">
        <f>H393+H401+H407</f>
        <v>710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69210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92850</v>
      </c>
      <c r="L426" s="56">
        <f t="shared" si="29"/>
        <v>92850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92850</v>
      </c>
      <c r="L427" s="47">
        <f t="shared" si="30"/>
        <v>92850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92850</v>
      </c>
      <c r="L434" s="47">
        <f t="shared" si="32"/>
        <v>92850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4491</v>
      </c>
      <c r="G442" s="18">
        <v>526149</v>
      </c>
      <c r="H442" s="18"/>
      <c r="I442" s="56">
        <f t="shared" si="33"/>
        <v>530640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4491</v>
      </c>
      <c r="G446" s="13">
        <f>SUM(G439:G445)</f>
        <v>526149</v>
      </c>
      <c r="H446" s="13">
        <f>SUM(H439:H445)</f>
        <v>0</v>
      </c>
      <c r="I446" s="13">
        <f>SUM(I439:I445)</f>
        <v>530640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4491</v>
      </c>
      <c r="G456" s="18"/>
      <c r="H456" s="18"/>
      <c r="I456" s="56">
        <f t="shared" si="34"/>
        <v>4491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526149</v>
      </c>
      <c r="H459" s="18"/>
      <c r="I459" s="56">
        <f t="shared" si="34"/>
        <v>526149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4491</v>
      </c>
      <c r="G460" s="83">
        <f>SUM(G454:G459)</f>
        <v>526149</v>
      </c>
      <c r="H460" s="83">
        <f>SUM(H454:H459)</f>
        <v>0</v>
      </c>
      <c r="I460" s="83">
        <f>SUM(I454:I459)</f>
        <v>530640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4491</v>
      </c>
      <c r="G461" s="42">
        <f>G452+G460</f>
        <v>526149</v>
      </c>
      <c r="H461" s="42">
        <f>H452+H460</f>
        <v>0</v>
      </c>
      <c r="I461" s="42">
        <f>I452+I460</f>
        <v>530640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907</v>
      </c>
      <c r="B465" s="105">
        <v>19</v>
      </c>
      <c r="C465" s="111">
        <v>1</v>
      </c>
      <c r="D465" s="2" t="s">
        <v>433</v>
      </c>
      <c r="E465" s="111"/>
      <c r="F465" s="18">
        <v>2868538</v>
      </c>
      <c r="G465" s="18">
        <v>126059</v>
      </c>
      <c r="H465" s="18">
        <v>60865</v>
      </c>
      <c r="I465" s="18">
        <v>83438</v>
      </c>
      <c r="J465" s="18">
        <v>554280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30154573</v>
      </c>
      <c r="G468" s="18">
        <v>845651</v>
      </c>
      <c r="H468" s="18">
        <v>2312546</v>
      </c>
      <c r="I468" s="18">
        <v>1281000</v>
      </c>
      <c r="J468" s="18">
        <v>69210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27183</v>
      </c>
      <c r="H469" s="18">
        <v>29738</v>
      </c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30154573</v>
      </c>
      <c r="G470" s="53">
        <f>SUM(G468:G469)</f>
        <v>872834</v>
      </c>
      <c r="H470" s="53">
        <f>SUM(H468:H469)</f>
        <v>2342284</v>
      </c>
      <c r="I470" s="53">
        <f>SUM(I468:I469)</f>
        <v>1281000</v>
      </c>
      <c r="J470" s="53">
        <f>SUM(J468:J469)</f>
        <v>69210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31084485</v>
      </c>
      <c r="G472" s="18">
        <v>884118</v>
      </c>
      <c r="H472" s="18">
        <v>2285136</v>
      </c>
      <c r="I472" s="18">
        <v>690463</v>
      </c>
      <c r="J472" s="18">
        <v>92850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158</v>
      </c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31084643</v>
      </c>
      <c r="G474" s="53">
        <f>SUM(G472:G473)</f>
        <v>884118</v>
      </c>
      <c r="H474" s="53">
        <f>SUM(H472:H473)</f>
        <v>2285136</v>
      </c>
      <c r="I474" s="53">
        <f>SUM(I472:I473)</f>
        <v>690463</v>
      </c>
      <c r="J474" s="53">
        <f>SUM(J472:J473)</f>
        <v>92850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1938468</v>
      </c>
      <c r="G476" s="53">
        <f>(G465+G470)- G474</f>
        <v>114775</v>
      </c>
      <c r="H476" s="53">
        <f>(H465+H470)- H474</f>
        <v>118013</v>
      </c>
      <c r="I476" s="53">
        <f>(I465+I470)- I474</f>
        <v>673975</v>
      </c>
      <c r="J476" s="53">
        <f>(J465+J470)- J474</f>
        <v>530640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274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/>
      <c r="G498" s="203"/>
      <c r="H498" s="203"/>
      <c r="I498" s="203"/>
      <c r="J498" s="203"/>
      <c r="K498" s="204">
        <f t="shared" si="35"/>
        <v>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/>
      <c r="G501" s="203"/>
      <c r="H501" s="203"/>
      <c r="I501" s="203"/>
      <c r="J501" s="203"/>
      <c r="K501" s="204">
        <f t="shared" si="35"/>
        <v>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1543967-62091</f>
        <v>1481876</v>
      </c>
      <c r="G521" s="18">
        <f>1287164-24978</f>
        <v>1262186</v>
      </c>
      <c r="H521" s="18">
        <f>1269698-3611</f>
        <v>1266087</v>
      </c>
      <c r="I521" s="18">
        <f>20315-80</f>
        <v>20235</v>
      </c>
      <c r="J521" s="18">
        <f>5249</f>
        <v>5249</v>
      </c>
      <c r="K521" s="18">
        <f>1081-1081</f>
        <v>0</v>
      </c>
      <c r="L521" s="88">
        <f>SUM(F521:K521)</f>
        <v>4035633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396747-19480</f>
        <v>377267</v>
      </c>
      <c r="G522" s="18">
        <f>317096-7836</f>
        <v>309260</v>
      </c>
      <c r="H522" s="18">
        <f>399070-1133</f>
        <v>397937</v>
      </c>
      <c r="I522" s="18">
        <f>11379-25</f>
        <v>11354</v>
      </c>
      <c r="J522" s="18">
        <f>705</f>
        <v>705</v>
      </c>
      <c r="K522" s="18">
        <v>0</v>
      </c>
      <c r="L522" s="88">
        <f>SUM(F522:K522)</f>
        <v>1096523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807041-40177</f>
        <v>766864</v>
      </c>
      <c r="G523" s="18">
        <f>646038-19195</f>
        <v>626843</v>
      </c>
      <c r="H523" s="18">
        <f>823052-2337</f>
        <v>820715</v>
      </c>
      <c r="I523" s="18">
        <f>23148-52</f>
        <v>23096</v>
      </c>
      <c r="J523" s="18">
        <v>1455</v>
      </c>
      <c r="K523" s="18">
        <v>0</v>
      </c>
      <c r="L523" s="88">
        <f>SUM(F523:K523)</f>
        <v>2238973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2626007</v>
      </c>
      <c r="G524" s="108">
        <f t="shared" ref="G524:L524" si="36">SUM(G521:G523)</f>
        <v>2198289</v>
      </c>
      <c r="H524" s="108">
        <f t="shared" si="36"/>
        <v>2484739</v>
      </c>
      <c r="I524" s="108">
        <f t="shared" si="36"/>
        <v>54685</v>
      </c>
      <c r="J524" s="108">
        <f t="shared" si="36"/>
        <v>7409</v>
      </c>
      <c r="K524" s="108">
        <f t="shared" si="36"/>
        <v>0</v>
      </c>
      <c r="L524" s="89">
        <f t="shared" si="36"/>
        <v>7371129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233944</v>
      </c>
      <c r="G526" s="18">
        <v>105026</v>
      </c>
      <c r="H526" s="18">
        <v>2956</v>
      </c>
      <c r="I526" s="18">
        <v>2982</v>
      </c>
      <c r="J526" s="18"/>
      <c r="K526" s="18">
        <v>56</v>
      </c>
      <c r="L526" s="88">
        <f>SUM(F526:K526)</f>
        <v>344964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73394</v>
      </c>
      <c r="G527" s="18">
        <v>32949</v>
      </c>
      <c r="H527" s="18">
        <v>928</v>
      </c>
      <c r="I527" s="18">
        <v>936</v>
      </c>
      <c r="J527" s="18"/>
      <c r="K527" s="18">
        <v>18</v>
      </c>
      <c r="L527" s="88">
        <f>SUM(F527:K527)</f>
        <v>108225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151375</v>
      </c>
      <c r="G528" s="18">
        <v>67958</v>
      </c>
      <c r="H528" s="18">
        <v>1913</v>
      </c>
      <c r="I528" s="18">
        <v>1930</v>
      </c>
      <c r="J528" s="18"/>
      <c r="K528" s="18">
        <v>36</v>
      </c>
      <c r="L528" s="88">
        <f>SUM(F528:K528)</f>
        <v>223212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458713</v>
      </c>
      <c r="G529" s="89">
        <f t="shared" ref="G529:L529" si="37">SUM(G526:G528)</f>
        <v>205933</v>
      </c>
      <c r="H529" s="89">
        <f t="shared" si="37"/>
        <v>5797</v>
      </c>
      <c r="I529" s="89">
        <f t="shared" si="37"/>
        <v>5848</v>
      </c>
      <c r="J529" s="89">
        <f t="shared" si="37"/>
        <v>0</v>
      </c>
      <c r="K529" s="89">
        <f t="shared" si="37"/>
        <v>110</v>
      </c>
      <c r="L529" s="89">
        <f t="shared" si="37"/>
        <v>676401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62091</v>
      </c>
      <c r="G531" s="18">
        <v>24978</v>
      </c>
      <c r="H531" s="18">
        <v>3611</v>
      </c>
      <c r="I531" s="18">
        <v>80</v>
      </c>
      <c r="J531" s="18"/>
      <c r="K531" s="18">
        <v>1081</v>
      </c>
      <c r="L531" s="88">
        <f>SUM(F531:K531)</f>
        <v>91841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19480</v>
      </c>
      <c r="G532" s="18">
        <v>7836</v>
      </c>
      <c r="H532" s="18">
        <v>1133</v>
      </c>
      <c r="I532" s="18">
        <v>25</v>
      </c>
      <c r="J532" s="18"/>
      <c r="K532" s="18">
        <v>339</v>
      </c>
      <c r="L532" s="88">
        <f>SUM(F532:K532)</f>
        <v>28813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40177</v>
      </c>
      <c r="G533" s="18">
        <v>16162</v>
      </c>
      <c r="H533" s="18">
        <v>2337</v>
      </c>
      <c r="I533" s="18">
        <v>52</v>
      </c>
      <c r="J533" s="18"/>
      <c r="K533" s="18">
        <v>700</v>
      </c>
      <c r="L533" s="88">
        <f>SUM(F533:K533)</f>
        <v>59428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121748</v>
      </c>
      <c r="G534" s="89">
        <f t="shared" ref="G534:L534" si="38">SUM(G531:G533)</f>
        <v>48976</v>
      </c>
      <c r="H534" s="89">
        <f t="shared" si="38"/>
        <v>7081</v>
      </c>
      <c r="I534" s="89">
        <f t="shared" si="38"/>
        <v>157</v>
      </c>
      <c r="J534" s="89">
        <f t="shared" si="38"/>
        <v>0</v>
      </c>
      <c r="K534" s="89">
        <f t="shared" si="38"/>
        <v>2120</v>
      </c>
      <c r="L534" s="89">
        <f t="shared" si="38"/>
        <v>180082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55095</v>
      </c>
      <c r="G541" s="18">
        <v>4759</v>
      </c>
      <c r="H541" s="18">
        <v>166380</v>
      </c>
      <c r="I541" s="18">
        <v>14849</v>
      </c>
      <c r="J541" s="18">
        <v>0</v>
      </c>
      <c r="K541" s="18"/>
      <c r="L541" s="88">
        <f>SUM(F541:K541)</f>
        <v>241083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17285</v>
      </c>
      <c r="G542" s="18">
        <v>1493</v>
      </c>
      <c r="H542" s="18">
        <v>52198</v>
      </c>
      <c r="I542" s="18">
        <v>4659</v>
      </c>
      <c r="J542" s="18">
        <v>0</v>
      </c>
      <c r="K542" s="18"/>
      <c r="L542" s="88">
        <f>SUM(F542:K542)</f>
        <v>75635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35650</v>
      </c>
      <c r="G543" s="18">
        <v>3080</v>
      </c>
      <c r="H543" s="18">
        <v>107657</v>
      </c>
      <c r="I543" s="18">
        <v>9608</v>
      </c>
      <c r="J543" s="18">
        <v>0</v>
      </c>
      <c r="K543" s="18"/>
      <c r="L543" s="88">
        <f>SUM(F543:K543)</f>
        <v>155995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108030</v>
      </c>
      <c r="G544" s="192">
        <f t="shared" ref="G544:L544" si="40">SUM(G541:G543)</f>
        <v>9332</v>
      </c>
      <c r="H544" s="192">
        <f t="shared" si="40"/>
        <v>326235</v>
      </c>
      <c r="I544" s="192">
        <f t="shared" si="40"/>
        <v>29116</v>
      </c>
      <c r="J544" s="192">
        <f t="shared" si="40"/>
        <v>0</v>
      </c>
      <c r="K544" s="192">
        <f t="shared" si="40"/>
        <v>0</v>
      </c>
      <c r="L544" s="192">
        <f t="shared" si="40"/>
        <v>472713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3314498</v>
      </c>
      <c r="G545" s="89">
        <f t="shared" ref="G545:L545" si="41">G524+G529+G534+G539+G544</f>
        <v>2462530</v>
      </c>
      <c r="H545" s="89">
        <f t="shared" si="41"/>
        <v>2823852</v>
      </c>
      <c r="I545" s="89">
        <f t="shared" si="41"/>
        <v>89806</v>
      </c>
      <c r="J545" s="89">
        <f t="shared" si="41"/>
        <v>7409</v>
      </c>
      <c r="K545" s="89">
        <f t="shared" si="41"/>
        <v>2230</v>
      </c>
      <c r="L545" s="89">
        <f t="shared" si="41"/>
        <v>8700325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4035633</v>
      </c>
      <c r="G549" s="87">
        <f>L526</f>
        <v>344964</v>
      </c>
      <c r="H549" s="87">
        <f>L531</f>
        <v>91841</v>
      </c>
      <c r="I549" s="87">
        <f>L536</f>
        <v>0</v>
      </c>
      <c r="J549" s="87">
        <f>L541</f>
        <v>241083</v>
      </c>
      <c r="K549" s="87">
        <f>SUM(F549:J549)</f>
        <v>4713521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1096523</v>
      </c>
      <c r="G550" s="87">
        <f>L527</f>
        <v>108225</v>
      </c>
      <c r="H550" s="87">
        <f>L532</f>
        <v>28813</v>
      </c>
      <c r="I550" s="87">
        <f>L537</f>
        <v>0</v>
      </c>
      <c r="J550" s="87">
        <f>L542</f>
        <v>75635</v>
      </c>
      <c r="K550" s="87">
        <f>SUM(F550:J550)</f>
        <v>1309196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2238973</v>
      </c>
      <c r="G551" s="87">
        <f>L528</f>
        <v>223212</v>
      </c>
      <c r="H551" s="87">
        <f>L533</f>
        <v>59428</v>
      </c>
      <c r="I551" s="87">
        <f>L538</f>
        <v>0</v>
      </c>
      <c r="J551" s="87">
        <f>L543</f>
        <v>155995</v>
      </c>
      <c r="K551" s="87">
        <f>SUM(F551:J551)</f>
        <v>2677608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7371129</v>
      </c>
      <c r="G552" s="89">
        <f t="shared" si="42"/>
        <v>676401</v>
      </c>
      <c r="H552" s="89">
        <f t="shared" si="42"/>
        <v>180082</v>
      </c>
      <c r="I552" s="89">
        <f t="shared" si="42"/>
        <v>0</v>
      </c>
      <c r="J552" s="89">
        <f t="shared" si="42"/>
        <v>472713</v>
      </c>
      <c r="K552" s="89">
        <f t="shared" si="42"/>
        <v>8700325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28050</v>
      </c>
      <c r="G562" s="18">
        <v>15094</v>
      </c>
      <c r="H562" s="18"/>
      <c r="I562" s="18"/>
      <c r="J562" s="18"/>
      <c r="K562" s="18"/>
      <c r="L562" s="88">
        <f>SUM(F562:K562)</f>
        <v>43144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8800</v>
      </c>
      <c r="G563" s="18">
        <v>4735</v>
      </c>
      <c r="H563" s="18"/>
      <c r="I563" s="18"/>
      <c r="J563" s="18"/>
      <c r="K563" s="18"/>
      <c r="L563" s="88">
        <f>SUM(F563:K563)</f>
        <v>13535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18150</v>
      </c>
      <c r="G564" s="18">
        <v>9767</v>
      </c>
      <c r="H564" s="18"/>
      <c r="I564" s="18"/>
      <c r="J564" s="18"/>
      <c r="K564" s="18"/>
      <c r="L564" s="88">
        <f>SUM(F564:K564)</f>
        <v>27917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55000</v>
      </c>
      <c r="G565" s="89">
        <f t="shared" si="44"/>
        <v>29596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84596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55000</v>
      </c>
      <c r="G571" s="89">
        <f t="shared" ref="G571:L571" si="46">G560+G565+G570</f>
        <v>29596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84596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13362</v>
      </c>
      <c r="H575" s="18">
        <v>7200</v>
      </c>
      <c r="I575" s="87">
        <f>SUM(F575:H575)</f>
        <v>20562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7905</v>
      </c>
      <c r="G579" s="18">
        <v>2480</v>
      </c>
      <c r="H579" s="18">
        <v>5115</v>
      </c>
      <c r="I579" s="87">
        <f t="shared" si="47"/>
        <v>15500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768455</v>
      </c>
      <c r="G582" s="18">
        <v>241084</v>
      </c>
      <c r="H582" s="18">
        <v>497236</v>
      </c>
      <c r="I582" s="87">
        <f t="shared" si="47"/>
        <v>1506775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69324</v>
      </c>
      <c r="I584" s="87">
        <f t="shared" si="47"/>
        <v>69324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537369</v>
      </c>
      <c r="I591" s="18">
        <f>168586+18349</f>
        <v>186935</v>
      </c>
      <c r="J591" s="18">
        <f>347709+37254</f>
        <v>384963</v>
      </c>
      <c r="K591" s="104">
        <f t="shared" ref="K591:K597" si="48">SUM(H591:J591)</f>
        <v>1109267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241083</v>
      </c>
      <c r="I592" s="18">
        <v>75635</v>
      </c>
      <c r="J592" s="18">
        <v>155995</v>
      </c>
      <c r="K592" s="104">
        <f t="shared" si="48"/>
        <v>472713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19110</v>
      </c>
      <c r="K593" s="104">
        <f t="shared" si="48"/>
        <v>19110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23509</v>
      </c>
      <c r="J594" s="18">
        <v>47730</v>
      </c>
      <c r="K594" s="104">
        <f t="shared" si="48"/>
        <v>71239</v>
      </c>
      <c r="L594" s="24" t="s">
        <v>289</v>
      </c>
      <c r="M594" s="8"/>
      <c r="N594" s="271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3160</v>
      </c>
      <c r="I595" s="18">
        <v>660</v>
      </c>
      <c r="J595" s="18">
        <v>1340</v>
      </c>
      <c r="K595" s="104">
        <f t="shared" si="48"/>
        <v>5160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10293</v>
      </c>
      <c r="I597" s="18">
        <v>3229</v>
      </c>
      <c r="J597" s="18">
        <v>6660</v>
      </c>
      <c r="K597" s="104">
        <f t="shared" si="48"/>
        <v>20182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791905</v>
      </c>
      <c r="I598" s="108">
        <f>SUM(I591:I597)</f>
        <v>289968</v>
      </c>
      <c r="J598" s="108">
        <f>SUM(J591:J597)</f>
        <v>615798</v>
      </c>
      <c r="K598" s="108">
        <f>SUM(K591:K597)</f>
        <v>1697671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182531</v>
      </c>
      <c r="I604" s="18">
        <v>57265</v>
      </c>
      <c r="J604" s="18">
        <v>118109</v>
      </c>
      <c r="K604" s="104">
        <f>SUM(H604:J604)</f>
        <v>357905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182531</v>
      </c>
      <c r="I605" s="108">
        <f>SUM(I602:I604)</f>
        <v>57265</v>
      </c>
      <c r="J605" s="108">
        <f>SUM(J602:J604)</f>
        <v>118109</v>
      </c>
      <c r="K605" s="108">
        <f>SUM(K602:K604)</f>
        <v>357905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4615</v>
      </c>
      <c r="G611" s="18">
        <v>1076</v>
      </c>
      <c r="H611" s="18">
        <v>8755</v>
      </c>
      <c r="I611" s="18"/>
      <c r="J611" s="18"/>
      <c r="K611" s="18"/>
      <c r="L611" s="88">
        <f>SUM(F611:K611)</f>
        <v>14446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2874</v>
      </c>
      <c r="G612" s="18">
        <v>670</v>
      </c>
      <c r="H612" s="18">
        <v>1583</v>
      </c>
      <c r="I612" s="18"/>
      <c r="J612" s="18"/>
      <c r="K612" s="18"/>
      <c r="L612" s="88">
        <f>SUM(F612:K612)</f>
        <v>5127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10176</v>
      </c>
      <c r="G613" s="18">
        <v>2373</v>
      </c>
      <c r="H613" s="18"/>
      <c r="I613" s="18"/>
      <c r="J613" s="18"/>
      <c r="K613" s="18"/>
      <c r="L613" s="88">
        <f>SUM(F613:K613)</f>
        <v>12549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17665</v>
      </c>
      <c r="G614" s="108">
        <f t="shared" si="49"/>
        <v>4119</v>
      </c>
      <c r="H614" s="108">
        <f t="shared" si="49"/>
        <v>10338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32122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2796996</v>
      </c>
      <c r="H617" s="109">
        <f>SUM(F52)</f>
        <v>2796996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119310</v>
      </c>
      <c r="H618" s="109">
        <f>SUM(G52)</f>
        <v>119310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867895</v>
      </c>
      <c r="H619" s="109">
        <f>SUM(H52)</f>
        <v>867895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721197</v>
      </c>
      <c r="H620" s="109">
        <f>SUM(I52)</f>
        <v>721197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530640</v>
      </c>
      <c r="H621" s="109">
        <f>SUM(J52)</f>
        <v>530640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1938468</v>
      </c>
      <c r="H622" s="109">
        <f>F476</f>
        <v>1938468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114775</v>
      </c>
      <c r="H623" s="109">
        <f>G476</f>
        <v>114775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118013</v>
      </c>
      <c r="H624" s="109">
        <f>H476</f>
        <v>118013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673975</v>
      </c>
      <c r="H625" s="109">
        <f>I476</f>
        <v>673975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530640</v>
      </c>
      <c r="H626" s="109">
        <f>J476</f>
        <v>530640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30154573</v>
      </c>
      <c r="H627" s="104">
        <f>SUM(F468)</f>
        <v>30154573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845651</v>
      </c>
      <c r="H628" s="104">
        <f>SUM(G468)</f>
        <v>845651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2312546</v>
      </c>
      <c r="H629" s="104">
        <f>SUM(H468)</f>
        <v>2312546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1281000</v>
      </c>
      <c r="H630" s="104">
        <f>SUM(I468)</f>
        <v>1281000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69210</v>
      </c>
      <c r="H631" s="104">
        <f>SUM(J468)</f>
        <v>69210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31084485</v>
      </c>
      <c r="H632" s="104">
        <f>SUM(F472)</f>
        <v>31084485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2285136</v>
      </c>
      <c r="H633" s="104">
        <f>SUM(H472)</f>
        <v>2285136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375762</v>
      </c>
      <c r="H634" s="104">
        <f>I369</f>
        <v>375762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884118</v>
      </c>
      <c r="H635" s="104">
        <f>SUM(G472)</f>
        <v>884118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690463</v>
      </c>
      <c r="H636" s="104">
        <f>SUM(I472)</f>
        <v>690463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69210</v>
      </c>
      <c r="H637" s="164">
        <f>SUM(J468)</f>
        <v>69210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92850</v>
      </c>
      <c r="H638" s="164">
        <f>SUM(J472)</f>
        <v>92850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4491</v>
      </c>
      <c r="H639" s="104">
        <f>SUM(F461)</f>
        <v>4491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526149</v>
      </c>
      <c r="H640" s="104">
        <f>SUM(G461)</f>
        <v>526149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530640</v>
      </c>
      <c r="H642" s="104">
        <f>SUM(I461)</f>
        <v>530640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710</v>
      </c>
      <c r="H644" s="104">
        <f>H408</f>
        <v>710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68500</v>
      </c>
      <c r="H645" s="104">
        <f>G408</f>
        <v>68500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69210</v>
      </c>
      <c r="H646" s="104">
        <f>L408</f>
        <v>69210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1697671</v>
      </c>
      <c r="H647" s="104">
        <f>L208+L226+L244</f>
        <v>1697671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357905</v>
      </c>
      <c r="H648" s="104">
        <f>(J257+J338)-(J255+J336)</f>
        <v>357905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791905</v>
      </c>
      <c r="H649" s="104">
        <f>H598</f>
        <v>791905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289968</v>
      </c>
      <c r="H650" s="104">
        <f>I598</f>
        <v>289968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615798</v>
      </c>
      <c r="H651" s="104">
        <f>J598</f>
        <v>615798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1281000</v>
      </c>
      <c r="H654" s="104">
        <f>K265+K346</f>
        <v>1281000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68500</v>
      </c>
      <c r="H655" s="104">
        <f>K266+K347</f>
        <v>68500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16964294</v>
      </c>
      <c r="G660" s="19">
        <f>(L229+L309+L359)</f>
        <v>5192218</v>
      </c>
      <c r="H660" s="19">
        <f>(L247+L328+L360)</f>
        <v>10713992</v>
      </c>
      <c r="I660" s="19">
        <f>SUM(F660:H660)</f>
        <v>32870504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186134.62569476021</v>
      </c>
      <c r="G661" s="19">
        <f>(L359/IF(SUM(L358:L360)=0,1,SUM(L358:L360))*(SUM(G97:G110)))</f>
        <v>58395.662343714299</v>
      </c>
      <c r="H661" s="19">
        <f>(L360/IF(SUM(L358:L360)=0,1,SUM(L358:L360))*(SUM(G97:G110)))</f>
        <v>120439.71196152551</v>
      </c>
      <c r="I661" s="19">
        <f>SUM(F661:H661)</f>
        <v>364970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803021</v>
      </c>
      <c r="G662" s="19">
        <f>(L226+L306)-(J226+J306)</f>
        <v>293455</v>
      </c>
      <c r="H662" s="19">
        <f>(L244+L325)-(J244+J325)</f>
        <v>622990</v>
      </c>
      <c r="I662" s="19">
        <f>SUM(F662:H662)</f>
        <v>1719466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973337</v>
      </c>
      <c r="G663" s="198">
        <f>SUM(G575:G587)+SUM(I602:I604)+L612</f>
        <v>319318</v>
      </c>
      <c r="H663" s="198">
        <f>SUM(H575:H587)+SUM(J602:J604)+L613</f>
        <v>709533</v>
      </c>
      <c r="I663" s="19">
        <f>SUM(F663:H663)</f>
        <v>2002188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15001801.374305241</v>
      </c>
      <c r="G664" s="19">
        <f>G660-SUM(G661:G663)</f>
        <v>4521049.3376562856</v>
      </c>
      <c r="H664" s="19">
        <f>H660-SUM(H661:H663)</f>
        <v>9261029.2880384736</v>
      </c>
      <c r="I664" s="19">
        <f>I660-SUM(I661:I663)</f>
        <v>28783880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877.13</v>
      </c>
      <c r="G665" s="247">
        <v>244.19</v>
      </c>
      <c r="H665" s="247">
        <v>516.44000000000005</v>
      </c>
      <c r="I665" s="19">
        <f>SUM(F665:H665)</f>
        <v>1637.76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17103.28</v>
      </c>
      <c r="G667" s="19">
        <f>ROUND(G664/G665,2)</f>
        <v>18514.47</v>
      </c>
      <c r="H667" s="19">
        <f>ROUND(H664/H665,2)</f>
        <v>17932.439999999999</v>
      </c>
      <c r="I667" s="19">
        <f>ROUND(I664/I665,2)</f>
        <v>17575.150000000001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-18.5</v>
      </c>
      <c r="I670" s="19">
        <f>SUM(F670:H670)</f>
        <v>-18.5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17103.28</v>
      </c>
      <c r="G672" s="19">
        <f>ROUND((G664+G669)/(G665+G670),2)</f>
        <v>18514.47</v>
      </c>
      <c r="H672" s="19">
        <f>ROUND((H664+H669)/(H665+H670),2)</f>
        <v>18598.689999999999</v>
      </c>
      <c r="I672" s="19">
        <f>ROUND((I664+I669)/(I665+I670),2)</f>
        <v>17775.95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1" workbookViewId="0">
      <selection activeCell="C40" sqref="C40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Monadnock Regional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8" t="s">
        <v>784</v>
      </c>
      <c r="B3" s="278"/>
      <c r="C3" s="278"/>
    </row>
    <row r="4" spans="1:3" x14ac:dyDescent="0.2">
      <c r="A4" s="235"/>
      <c r="B4" s="236" t="str">
        <f>'DOE25'!H1</f>
        <v>DOE 25  2015-2016</v>
      </c>
      <c r="C4" s="235"/>
    </row>
    <row r="5" spans="1:3" x14ac:dyDescent="0.2">
      <c r="A5" s="232"/>
      <c r="B5" s="231"/>
    </row>
    <row r="6" spans="1:3" x14ac:dyDescent="0.2">
      <c r="A6" s="226"/>
      <c r="B6" s="277" t="s">
        <v>783</v>
      </c>
      <c r="C6" s="277"/>
    </row>
    <row r="7" spans="1:3" x14ac:dyDescent="0.2">
      <c r="A7" s="238" t="s">
        <v>786</v>
      </c>
      <c r="B7" s="275" t="s">
        <v>782</v>
      </c>
      <c r="C7" s="276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6954739</v>
      </c>
      <c r="C9" s="228">
        <f>'DOE25'!G197+'DOE25'!G215+'DOE25'!G233+'DOE25'!G276+'DOE25'!G295+'DOE25'!G314</f>
        <v>3960109</v>
      </c>
    </row>
    <row r="10" spans="1:3" x14ac:dyDescent="0.2">
      <c r="A10" t="s">
        <v>779</v>
      </c>
      <c r="B10" s="239">
        <v>6881111</v>
      </c>
      <c r="C10" s="239">
        <v>3878884</v>
      </c>
    </row>
    <row r="11" spans="1:3" x14ac:dyDescent="0.2">
      <c r="A11" t="s">
        <v>780</v>
      </c>
      <c r="B11" s="239">
        <v>68196</v>
      </c>
      <c r="C11" s="239">
        <v>80809</v>
      </c>
    </row>
    <row r="12" spans="1:3" x14ac:dyDescent="0.2">
      <c r="A12" t="s">
        <v>781</v>
      </c>
      <c r="B12" s="239">
        <v>5432</v>
      </c>
      <c r="C12" s="239">
        <v>416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6954739</v>
      </c>
      <c r="C13" s="230">
        <f>SUM(C10:C12)</f>
        <v>3960109</v>
      </c>
    </row>
    <row r="14" spans="1:3" x14ac:dyDescent="0.2">
      <c r="B14" s="229"/>
      <c r="C14" s="229"/>
    </row>
    <row r="15" spans="1:3" x14ac:dyDescent="0.2">
      <c r="B15" s="277" t="s">
        <v>783</v>
      </c>
      <c r="C15" s="277"/>
    </row>
    <row r="16" spans="1:3" x14ac:dyDescent="0.2">
      <c r="A16" s="238" t="s">
        <v>787</v>
      </c>
      <c r="B16" s="275" t="s">
        <v>707</v>
      </c>
      <c r="C16" s="276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3018216</v>
      </c>
      <c r="C18" s="228">
        <f>'DOE25'!G198+'DOE25'!G216+'DOE25'!G234+'DOE25'!G277+'DOE25'!G296+'DOE25'!G315</f>
        <v>2422273</v>
      </c>
    </row>
    <row r="19" spans="1:3" x14ac:dyDescent="0.2">
      <c r="A19" t="s">
        <v>779</v>
      </c>
      <c r="B19" s="239">
        <v>1567963</v>
      </c>
      <c r="C19" s="239">
        <v>809229</v>
      </c>
    </row>
    <row r="20" spans="1:3" x14ac:dyDescent="0.2">
      <c r="A20" t="s">
        <v>780</v>
      </c>
      <c r="B20" s="239">
        <v>1377240</v>
      </c>
      <c r="C20" s="239">
        <v>1594654</v>
      </c>
    </row>
    <row r="21" spans="1:3" x14ac:dyDescent="0.2">
      <c r="A21" t="s">
        <v>781</v>
      </c>
      <c r="B21" s="239">
        <v>73013</v>
      </c>
      <c r="C21" s="239">
        <v>18390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3018216</v>
      </c>
      <c r="C22" s="230">
        <f>SUM(C19:C21)</f>
        <v>2422273</v>
      </c>
    </row>
    <row r="23" spans="1:3" x14ac:dyDescent="0.2">
      <c r="B23" s="229"/>
      <c r="C23" s="229"/>
    </row>
    <row r="24" spans="1:3" x14ac:dyDescent="0.2">
      <c r="B24" s="277" t="s">
        <v>783</v>
      </c>
      <c r="C24" s="277"/>
    </row>
    <row r="25" spans="1:3" x14ac:dyDescent="0.2">
      <c r="A25" s="238" t="s">
        <v>788</v>
      </c>
      <c r="B25" s="275" t="s">
        <v>708</v>
      </c>
      <c r="C25" s="276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8" t="s">
        <v>789</v>
      </c>
      <c r="B34" s="275" t="s">
        <v>709</v>
      </c>
      <c r="C34" s="276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813832</v>
      </c>
      <c r="C36" s="234">
        <f>'DOE25'!G200+'DOE25'!G218+'DOE25'!G236+'DOE25'!G279+'DOE25'!G298+'DOE25'!G317</f>
        <v>80507</v>
      </c>
    </row>
    <row r="37" spans="1:3" x14ac:dyDescent="0.2">
      <c r="A37" t="s">
        <v>779</v>
      </c>
      <c r="B37" s="239">
        <v>26300</v>
      </c>
      <c r="C37" s="239">
        <v>6049</v>
      </c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v>787532</v>
      </c>
      <c r="C39" s="239">
        <v>74458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813832</v>
      </c>
      <c r="C40" s="230">
        <f>SUM(C37:C39)</f>
        <v>80507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7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0"/>
    </row>
    <row r="2" spans="1:9" x14ac:dyDescent="0.2">
      <c r="A2" s="33" t="s">
        <v>717</v>
      </c>
      <c r="B2" s="264" t="str">
        <f>'DOE25'!A2</f>
        <v>Monadnock Regional School District</v>
      </c>
      <c r="C2" s="180"/>
      <c r="D2" s="180" t="s">
        <v>792</v>
      </c>
      <c r="E2" s="180" t="s">
        <v>794</v>
      </c>
      <c r="F2" s="279" t="s">
        <v>821</v>
      </c>
      <c r="G2" s="280"/>
      <c r="H2" s="281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18953851</v>
      </c>
      <c r="D5" s="20">
        <f>SUM('DOE25'!L197:L200)+SUM('DOE25'!L215:L218)+SUM('DOE25'!L233:L236)-F5-G5</f>
        <v>18878384</v>
      </c>
      <c r="E5" s="242"/>
      <c r="F5" s="254">
        <f>SUM('DOE25'!J197:J200)+SUM('DOE25'!J215:J218)+SUM('DOE25'!J233:J236)</f>
        <v>48086</v>
      </c>
      <c r="G5" s="53">
        <f>SUM('DOE25'!K197:K200)+SUM('DOE25'!K215:K218)+SUM('DOE25'!K233:K236)</f>
        <v>27381</v>
      </c>
      <c r="H5" s="258"/>
    </row>
    <row r="6" spans="1:9" x14ac:dyDescent="0.2">
      <c r="A6" s="32">
        <v>2100</v>
      </c>
      <c r="B6" t="s">
        <v>801</v>
      </c>
      <c r="C6" s="244">
        <f t="shared" si="0"/>
        <v>1876630</v>
      </c>
      <c r="D6" s="20">
        <f>'DOE25'!L202+'DOE25'!L220+'DOE25'!L238-F6-G6</f>
        <v>1865428</v>
      </c>
      <c r="E6" s="242"/>
      <c r="F6" s="254">
        <f>'DOE25'!J202+'DOE25'!J220+'DOE25'!J238</f>
        <v>210</v>
      </c>
      <c r="G6" s="53">
        <f>'DOE25'!K202+'DOE25'!K220+'DOE25'!K238</f>
        <v>10992</v>
      </c>
      <c r="H6" s="258"/>
    </row>
    <row r="7" spans="1:9" x14ac:dyDescent="0.2">
      <c r="A7" s="32">
        <v>2200</v>
      </c>
      <c r="B7" t="s">
        <v>834</v>
      </c>
      <c r="C7" s="244">
        <f t="shared" si="0"/>
        <v>616511</v>
      </c>
      <c r="D7" s="20">
        <f>'DOE25'!L203+'DOE25'!L221+'DOE25'!L239-F7-G7</f>
        <v>614987</v>
      </c>
      <c r="E7" s="242"/>
      <c r="F7" s="254">
        <f>'DOE25'!J203+'DOE25'!J221+'DOE25'!J239</f>
        <v>0</v>
      </c>
      <c r="G7" s="53">
        <f>'DOE25'!K203+'DOE25'!K221+'DOE25'!K239</f>
        <v>1524</v>
      </c>
      <c r="H7" s="258"/>
    </row>
    <row r="8" spans="1:9" x14ac:dyDescent="0.2">
      <c r="A8" s="32">
        <v>2300</v>
      </c>
      <c r="B8" t="s">
        <v>802</v>
      </c>
      <c r="C8" s="244">
        <f t="shared" si="0"/>
        <v>169842</v>
      </c>
      <c r="D8" s="242"/>
      <c r="E8" s="20">
        <f>'DOE25'!L204+'DOE25'!L222+'DOE25'!L240-F8-G8-D9-D11</f>
        <v>91979</v>
      </c>
      <c r="F8" s="254">
        <f>'DOE25'!J204+'DOE25'!J222+'DOE25'!J240</f>
        <v>9073</v>
      </c>
      <c r="G8" s="53">
        <f>'DOE25'!K204+'DOE25'!K222+'DOE25'!K240</f>
        <v>68790</v>
      </c>
      <c r="H8" s="258"/>
    </row>
    <row r="9" spans="1:9" x14ac:dyDescent="0.2">
      <c r="A9" s="32">
        <v>2310</v>
      </c>
      <c r="B9" t="s">
        <v>818</v>
      </c>
      <c r="C9" s="244">
        <f t="shared" si="0"/>
        <v>144507</v>
      </c>
      <c r="D9" s="243">
        <v>144507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20259</v>
      </c>
      <c r="D10" s="242"/>
      <c r="E10" s="243">
        <v>20259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283128</v>
      </c>
      <c r="D11" s="243">
        <v>283128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1519388</v>
      </c>
      <c r="D12" s="20">
        <f>'DOE25'!L205+'DOE25'!L223+'DOE25'!L241-F12-G12</f>
        <v>1509120</v>
      </c>
      <c r="E12" s="242"/>
      <c r="F12" s="254">
        <f>'DOE25'!J205+'DOE25'!J223+'DOE25'!J241</f>
        <v>740</v>
      </c>
      <c r="G12" s="53">
        <f>'DOE25'!K205+'DOE25'!K223+'DOE25'!K241</f>
        <v>9528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811943</v>
      </c>
      <c r="D13" s="242"/>
      <c r="E13" s="20">
        <f>'DOE25'!L206+'DOE25'!L224+'DOE25'!L242-F13-G13</f>
        <v>800406</v>
      </c>
      <c r="F13" s="254">
        <f>'DOE25'!J206+'DOE25'!J224+'DOE25'!J242</f>
        <v>11352</v>
      </c>
      <c r="G13" s="53">
        <f>'DOE25'!K206+'DOE25'!K224+'DOE25'!K242</f>
        <v>185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2250563</v>
      </c>
      <c r="D14" s="20">
        <f>'DOE25'!L207+'DOE25'!L225+'DOE25'!L243-F14-G14</f>
        <v>2187993</v>
      </c>
      <c r="E14" s="242"/>
      <c r="F14" s="254">
        <f>'DOE25'!J207+'DOE25'!J225+'DOE25'!J243</f>
        <v>62520</v>
      </c>
      <c r="G14" s="53">
        <f>'DOE25'!K207+'DOE25'!K225+'DOE25'!K243</f>
        <v>50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1697671</v>
      </c>
      <c r="D15" s="20">
        <f>'DOE25'!L208+'DOE25'!L226+'DOE25'!L244-F15-G15</f>
        <v>1697671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1410951</v>
      </c>
      <c r="D16" s="242"/>
      <c r="E16" s="20">
        <f>'DOE25'!L209+'DOE25'!L227+'DOE25'!L245-F16-G16</f>
        <v>1188195</v>
      </c>
      <c r="F16" s="254">
        <f>'DOE25'!J209+'DOE25'!J227+'DOE25'!J245</f>
        <v>222756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'DOE25'!L260+'DOE25'!L261+'DOE25'!L341+'DOE25'!L342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535835</v>
      </c>
      <c r="D29" s="20">
        <f>'DOE25'!L358+'DOE25'!L359+'DOE25'!L360-'DOE25'!I367-F29-G29</f>
        <v>534471</v>
      </c>
      <c r="E29" s="242"/>
      <c r="F29" s="254">
        <f>'DOE25'!J358+'DOE25'!J359+'DOE25'!J360</f>
        <v>742</v>
      </c>
      <c r="G29" s="53">
        <f>'DOE25'!K358+'DOE25'!K359+'DOE25'!K360</f>
        <v>622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2251401</v>
      </c>
      <c r="D31" s="20">
        <f>'DOE25'!L290+'DOE25'!L309+'DOE25'!L328+'DOE25'!L333+'DOE25'!L334+'DOE25'!L335-F31-G31</f>
        <v>2248233</v>
      </c>
      <c r="E31" s="242"/>
      <c r="F31" s="254">
        <f>'DOE25'!J290+'DOE25'!J309+'DOE25'!J328+'DOE25'!J333+'DOE25'!J334+'DOE25'!J335</f>
        <v>3168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29963922</v>
      </c>
      <c r="E33" s="245">
        <f>SUM(E5:E31)</f>
        <v>2100839</v>
      </c>
      <c r="F33" s="245">
        <f>SUM(F5:F31)</f>
        <v>358647</v>
      </c>
      <c r="G33" s="245">
        <f>SUM(G5:G31)</f>
        <v>119072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2100839</v>
      </c>
      <c r="E35" s="248"/>
    </row>
    <row r="36" spans="2:8" ht="12" thickTop="1" x14ac:dyDescent="0.2">
      <c r="B36" t="s">
        <v>815</v>
      </c>
      <c r="D36" s="20">
        <f>D33</f>
        <v>29963922</v>
      </c>
    </row>
    <row r="38" spans="2:8" x14ac:dyDescent="0.2">
      <c r="B38" s="186" t="s">
        <v>905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1891956</v>
      </c>
      <c r="D8" s="95">
        <f>'DOE25'!G9</f>
        <v>2329</v>
      </c>
      <c r="E8" s="95">
        <f>'DOE25'!H9</f>
        <v>119292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850969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100408</v>
      </c>
      <c r="E11" s="95">
        <f>'DOE25'!H12</f>
        <v>0</v>
      </c>
      <c r="F11" s="95">
        <f>'DOE25'!I12</f>
        <v>721197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16573</v>
      </c>
      <c r="E12" s="95">
        <f>'DOE25'!H13</f>
        <v>676738</v>
      </c>
      <c r="F12" s="95">
        <f>'DOE25'!I13</f>
        <v>0</v>
      </c>
      <c r="G12" s="95">
        <f>'DOE25'!J13</f>
        <v>530640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54071</v>
      </c>
      <c r="D13" s="95">
        <f>'DOE25'!G14</f>
        <v>0</v>
      </c>
      <c r="E13" s="95">
        <f>'DOE25'!H14</f>
        <v>71865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2796996</v>
      </c>
      <c r="D18" s="41">
        <f>SUM(D8:D17)</f>
        <v>119310</v>
      </c>
      <c r="E18" s="41">
        <f>SUM(E8:E17)</f>
        <v>867895</v>
      </c>
      <c r="F18" s="41">
        <f>SUM(F8:F17)</f>
        <v>721197</v>
      </c>
      <c r="G18" s="41">
        <f>SUM(G8:G17)</f>
        <v>530640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177984</v>
      </c>
      <c r="D21" s="95">
        <f>'DOE25'!G22</f>
        <v>1159</v>
      </c>
      <c r="E21" s="95">
        <f>'DOE25'!H22</f>
        <v>699954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113998</v>
      </c>
      <c r="D23" s="95">
        <f>'DOE25'!G24</f>
        <v>3376</v>
      </c>
      <c r="E23" s="95">
        <f>'DOE25'!H24</f>
        <v>16620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47222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33308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566546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858528</v>
      </c>
      <c r="D31" s="41">
        <f>SUM(D21:D30)</f>
        <v>4535</v>
      </c>
      <c r="E31" s="41">
        <f>SUM(E21:E30)</f>
        <v>749882</v>
      </c>
      <c r="F31" s="41">
        <f>SUM(F21:F30)</f>
        <v>47222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207245</v>
      </c>
      <c r="D42" s="95">
        <f>'DOE25'!G43</f>
        <v>114775</v>
      </c>
      <c r="E42" s="95">
        <f>'DOE25'!H43</f>
        <v>118013</v>
      </c>
      <c r="F42" s="95">
        <f>'DOE25'!I43</f>
        <v>0</v>
      </c>
      <c r="G42" s="95">
        <f>'DOE25'!J43</f>
        <v>4491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104442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342884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526149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673975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1233897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1938468</v>
      </c>
      <c r="D50" s="41">
        <f>SUM(D34:D49)</f>
        <v>114775</v>
      </c>
      <c r="E50" s="41">
        <f>SUM(E34:E49)</f>
        <v>118013</v>
      </c>
      <c r="F50" s="41">
        <f>SUM(F34:F49)</f>
        <v>673975</v>
      </c>
      <c r="G50" s="41">
        <f>SUM(G34:G49)</f>
        <v>530640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2796996</v>
      </c>
      <c r="D51" s="41">
        <f>D50+D31</f>
        <v>119310</v>
      </c>
      <c r="E51" s="41">
        <f>E50+E31</f>
        <v>867895</v>
      </c>
      <c r="F51" s="41">
        <f>F50+F31</f>
        <v>721197</v>
      </c>
      <c r="G51" s="41">
        <f>G50+G31</f>
        <v>530640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15984635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198974</v>
      </c>
      <c r="D57" s="24" t="s">
        <v>289</v>
      </c>
      <c r="E57" s="95">
        <f>'DOE25'!H79</f>
        <v>653341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710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364970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562927</v>
      </c>
      <c r="D61" s="95">
        <f>SUM('DOE25'!G98:G110)</f>
        <v>0</v>
      </c>
      <c r="E61" s="95">
        <f>SUM('DOE25'!H98:H110)</f>
        <v>99978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761901</v>
      </c>
      <c r="D62" s="130">
        <f>SUM(D57:D61)</f>
        <v>364970</v>
      </c>
      <c r="E62" s="130">
        <f>SUM(E57:E61)</f>
        <v>753319</v>
      </c>
      <c r="F62" s="130">
        <f>SUM(F57:F61)</f>
        <v>0</v>
      </c>
      <c r="G62" s="130">
        <f>SUM(G57:G61)</f>
        <v>710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16746536</v>
      </c>
      <c r="D63" s="22">
        <f>D56+D62</f>
        <v>364970</v>
      </c>
      <c r="E63" s="22">
        <f>E56+E62</f>
        <v>753319</v>
      </c>
      <c r="F63" s="22">
        <f>F56+F62</f>
        <v>0</v>
      </c>
      <c r="G63" s="22">
        <f>G56+G62</f>
        <v>710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9715692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2398854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12114546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630701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251255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8301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2213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890257</v>
      </c>
      <c r="D78" s="130">
        <f>SUM(D72:D77)</f>
        <v>2213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13004803</v>
      </c>
      <c r="D81" s="130">
        <f>SUM(D79:D80)+D78+D70</f>
        <v>2213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369499</v>
      </c>
      <c r="D88" s="95">
        <f>SUM('DOE25'!G153:G161)</f>
        <v>478468</v>
      </c>
      <c r="E88" s="95">
        <f>SUM('DOE25'!H153:H161)</f>
        <v>1553833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5394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369499</v>
      </c>
      <c r="D91" s="131">
        <f>SUM(D85:D90)</f>
        <v>478468</v>
      </c>
      <c r="E91" s="131">
        <f>SUM(E85:E90)</f>
        <v>1559227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1281000</v>
      </c>
      <c r="G96" s="95">
        <f>'DOE25'!J179</f>
        <v>68500</v>
      </c>
    </row>
    <row r="97" spans="1:7" x14ac:dyDescent="0.2">
      <c r="A97" t="s">
        <v>758</v>
      </c>
      <c r="B97" s="32" t="s">
        <v>188</v>
      </c>
      <c r="C97" s="95">
        <f>SUM('DOE25'!F180:F181)</f>
        <v>33735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33735</v>
      </c>
      <c r="D103" s="86">
        <f>SUM(D93:D102)</f>
        <v>0</v>
      </c>
      <c r="E103" s="86">
        <f>SUM(E93:E102)</f>
        <v>0</v>
      </c>
      <c r="F103" s="86">
        <f>SUM(F93:F102)</f>
        <v>1281000</v>
      </c>
      <c r="G103" s="86">
        <f>SUM(G93:G102)</f>
        <v>68500</v>
      </c>
    </row>
    <row r="104" spans="1:7" ht="12.75" thickTop="1" thickBot="1" x14ac:dyDescent="0.25">
      <c r="A104" s="33" t="s">
        <v>765</v>
      </c>
      <c r="C104" s="86">
        <f>C63+C81+C91+C103</f>
        <v>30154573</v>
      </c>
      <c r="D104" s="86">
        <f>D63+D81+D91+D103</f>
        <v>845651</v>
      </c>
      <c r="E104" s="86">
        <f>E63+E81+E91+E103</f>
        <v>2312546</v>
      </c>
      <c r="F104" s="86">
        <f>F63+F81+F91+F103</f>
        <v>1281000</v>
      </c>
      <c r="G104" s="86">
        <f>G63+G81+G103</f>
        <v>69210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11040729</v>
      </c>
      <c r="D109" s="24" t="s">
        <v>289</v>
      </c>
      <c r="E109" s="95">
        <f>('DOE25'!L276)+('DOE25'!L295)+('DOE25'!L314)</f>
        <v>331706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7554244</v>
      </c>
      <c r="D110" s="24" t="s">
        <v>289</v>
      </c>
      <c r="E110" s="95">
        <f>('DOE25'!L277)+('DOE25'!L296)+('DOE25'!L315)</f>
        <v>442436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69324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289554</v>
      </c>
      <c r="D112" s="24" t="s">
        <v>289</v>
      </c>
      <c r="E112" s="95">
        <f>+('DOE25'!L279)+('DOE25'!L298)+('DOE25'!L317)</f>
        <v>803355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18953851</v>
      </c>
      <c r="D115" s="86">
        <f>SUM(D109:D114)</f>
        <v>0</v>
      </c>
      <c r="E115" s="86">
        <f>SUM(E109:E114)</f>
        <v>1577497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1876630</v>
      </c>
      <c r="D118" s="24" t="s">
        <v>289</v>
      </c>
      <c r="E118" s="95">
        <f>+('DOE25'!L281)+('DOE25'!L300)+('DOE25'!L319)</f>
        <v>111862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616511</v>
      </c>
      <c r="D119" s="24" t="s">
        <v>289</v>
      </c>
      <c r="E119" s="95">
        <f>+('DOE25'!L282)+('DOE25'!L301)+('DOE25'!L320)</f>
        <v>290494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597477</v>
      </c>
      <c r="D120" s="24" t="s">
        <v>289</v>
      </c>
      <c r="E120" s="95">
        <f>+('DOE25'!L283)+('DOE25'!L302)+('DOE25'!L321)</f>
        <v>191992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1519388</v>
      </c>
      <c r="D121" s="24" t="s">
        <v>289</v>
      </c>
      <c r="E121" s="95">
        <f>+('DOE25'!L284)+('DOE25'!L303)+('DOE25'!L322)</f>
        <v>57761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811943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2250563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1697671</v>
      </c>
      <c r="D124" s="24" t="s">
        <v>289</v>
      </c>
      <c r="E124" s="95">
        <f>+('DOE25'!L287)+('DOE25'!L306)+('DOE25'!L325)</f>
        <v>21795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1410951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884118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10781134</v>
      </c>
      <c r="D128" s="86">
        <f>SUM(D118:D127)</f>
        <v>884118</v>
      </c>
      <c r="E128" s="86">
        <f>SUM(E118:E127)</f>
        <v>673904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690463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33735</v>
      </c>
      <c r="F134" s="95">
        <f>'DOE25'!K381</f>
        <v>0</v>
      </c>
      <c r="G134" s="95">
        <f>'DOE25'!K434</f>
        <v>92850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1281000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69204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-710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1349500</v>
      </c>
      <c r="D144" s="141">
        <f>SUM(D130:D143)</f>
        <v>0</v>
      </c>
      <c r="E144" s="141">
        <f>SUM(E130:E143)</f>
        <v>33735</v>
      </c>
      <c r="F144" s="141">
        <f>SUM(F130:F143)</f>
        <v>690463</v>
      </c>
      <c r="G144" s="141">
        <f>SUM(G130:G143)</f>
        <v>92850</v>
      </c>
    </row>
    <row r="145" spans="1:9" ht="12.75" thickTop="1" thickBot="1" x14ac:dyDescent="0.25">
      <c r="A145" s="33" t="s">
        <v>244</v>
      </c>
      <c r="C145" s="86">
        <f>(C115+C128+C144)</f>
        <v>31084485</v>
      </c>
      <c r="D145" s="86">
        <f>(D115+D128+D144)</f>
        <v>884118</v>
      </c>
      <c r="E145" s="86">
        <f>(E115+E128+E144)</f>
        <v>2285136</v>
      </c>
      <c r="F145" s="86">
        <f>(F115+F128+F144)</f>
        <v>690463</v>
      </c>
      <c r="G145" s="86">
        <f>(G115+G128+G144)</f>
        <v>92850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6" t="s">
        <v>717</v>
      </c>
      <c r="B2" s="185" t="str">
        <f>'DOE25'!A2</f>
        <v>Monadnock Regional School District</v>
      </c>
    </row>
    <row r="3" spans="1:4" x14ac:dyDescent="0.2">
      <c r="B3" s="187" t="s">
        <v>902</v>
      </c>
    </row>
    <row r="4" spans="1:4" x14ac:dyDescent="0.2">
      <c r="B4" t="s">
        <v>61</v>
      </c>
      <c r="C4" s="178">
        <f>IF('DOE25'!F665+'DOE25'!F670=0,0,ROUND('DOE25'!F672,0))</f>
        <v>17103</v>
      </c>
    </row>
    <row r="5" spans="1:4" x14ac:dyDescent="0.2">
      <c r="B5" t="s">
        <v>704</v>
      </c>
      <c r="C5" s="178">
        <f>IF('DOE25'!G665+'DOE25'!G670=0,0,ROUND('DOE25'!G672,0))</f>
        <v>18514</v>
      </c>
    </row>
    <row r="6" spans="1:4" x14ac:dyDescent="0.2">
      <c r="B6" t="s">
        <v>62</v>
      </c>
      <c r="C6" s="178">
        <f>IF('DOE25'!H665+'DOE25'!H670=0,0,ROUND('DOE25'!H672,0))</f>
        <v>18599</v>
      </c>
    </row>
    <row r="7" spans="1:4" x14ac:dyDescent="0.2">
      <c r="B7" t="s">
        <v>705</v>
      </c>
      <c r="C7" s="178">
        <f>IF('DOE25'!I665+'DOE25'!I670=0,0,ROUND('DOE25'!I672,0))</f>
        <v>17776</v>
      </c>
    </row>
    <row r="9" spans="1:4" x14ac:dyDescent="0.2">
      <c r="A9" s="186" t="s">
        <v>94</v>
      </c>
      <c r="B9" s="187" t="s">
        <v>903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11372435</v>
      </c>
      <c r="D10" s="181">
        <f>ROUND((C10/$C$28)*100,1)</f>
        <v>35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7996680</v>
      </c>
      <c r="D11" s="181">
        <f>ROUND((C11/$C$28)*100,1)</f>
        <v>24.6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69324</v>
      </c>
      <c r="D12" s="181">
        <f>ROUND((C12/$C$28)*100,1)</f>
        <v>0.2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1092909</v>
      </c>
      <c r="D13" s="181">
        <f>ROUND((C13/$C$28)*100,1)</f>
        <v>3.4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1988492</v>
      </c>
      <c r="D15" s="181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907005</v>
      </c>
      <c r="D16" s="181">
        <f t="shared" si="0"/>
        <v>2.8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2200420</v>
      </c>
      <c r="D17" s="181">
        <f t="shared" si="0"/>
        <v>6.8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1577149</v>
      </c>
      <c r="D18" s="181">
        <f t="shared" si="0"/>
        <v>4.9000000000000004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811943</v>
      </c>
      <c r="D19" s="181">
        <f t="shared" si="0"/>
        <v>2.5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2250563</v>
      </c>
      <c r="D20" s="181">
        <f t="shared" si="0"/>
        <v>6.9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1719466</v>
      </c>
      <c r="D21" s="181">
        <f t="shared" si="0"/>
        <v>5.3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519148</v>
      </c>
      <c r="D27" s="181">
        <f t="shared" si="0"/>
        <v>1.6</v>
      </c>
    </row>
    <row r="28" spans="1:4" x14ac:dyDescent="0.2">
      <c r="B28" s="186" t="s">
        <v>723</v>
      </c>
      <c r="C28" s="179">
        <f>SUM(C10:C27)</f>
        <v>32505534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690463</v>
      </c>
    </row>
    <row r="30" spans="1:4" x14ac:dyDescent="0.2">
      <c r="B30" s="186" t="s">
        <v>729</v>
      </c>
      <c r="C30" s="179">
        <f>SUM(C28:C29)</f>
        <v>33195997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0</v>
      </c>
    </row>
    <row r="34" spans="1:4" x14ac:dyDescent="0.2">
      <c r="A34" s="186" t="s">
        <v>94</v>
      </c>
      <c r="B34" s="187" t="s">
        <v>904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15984635</v>
      </c>
      <c r="D35" s="181">
        <f t="shared" ref="D35:D40" si="1">ROUND((C35/$C$41)*100,1)</f>
        <v>48.6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1515930</v>
      </c>
      <c r="D36" s="181">
        <f t="shared" si="1"/>
        <v>4.5999999999999996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12114546</v>
      </c>
      <c r="D37" s="181">
        <f t="shared" si="1"/>
        <v>36.799999999999997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892470</v>
      </c>
      <c r="D38" s="181">
        <f t="shared" si="1"/>
        <v>2.7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2407194</v>
      </c>
      <c r="D39" s="181">
        <f t="shared" si="1"/>
        <v>7.3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32914775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2"/>
      <c r="K1" s="212"/>
      <c r="L1" s="212"/>
      <c r="M1" s="213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Monadnock Regional School District</v>
      </c>
      <c r="G2" s="299"/>
      <c r="H2" s="299"/>
      <c r="I2" s="299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6"/>
      <c r="AB29" s="206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6"/>
      <c r="AO29" s="206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6"/>
      <c r="BB29" s="206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6"/>
      <c r="BO29" s="206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6"/>
      <c r="CB29" s="206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6"/>
      <c r="CO29" s="206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6"/>
      <c r="DB29" s="206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6"/>
      <c r="DO29" s="206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6"/>
      <c r="EB29" s="206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6"/>
      <c r="EO29" s="206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6"/>
      <c r="FB29" s="206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6"/>
      <c r="FO29" s="206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6"/>
      <c r="GB29" s="206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6"/>
      <c r="GO29" s="206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6"/>
      <c r="HB29" s="206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6"/>
      <c r="HO29" s="206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6"/>
      <c r="IB29" s="206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6"/>
      <c r="IO29" s="206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6"/>
      <c r="AB30" s="206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6"/>
      <c r="AO30" s="206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6"/>
      <c r="BB30" s="206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6"/>
      <c r="BO30" s="206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6"/>
      <c r="CB30" s="206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6"/>
      <c r="CO30" s="206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6"/>
      <c r="DB30" s="206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6"/>
      <c r="DO30" s="206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6"/>
      <c r="EB30" s="206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6"/>
      <c r="EO30" s="206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6"/>
      <c r="FB30" s="206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6"/>
      <c r="FO30" s="206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6"/>
      <c r="GB30" s="206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6"/>
      <c r="GO30" s="206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6"/>
      <c r="HB30" s="206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6"/>
      <c r="HO30" s="206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6"/>
      <c r="IB30" s="206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6"/>
      <c r="IO30" s="206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6"/>
      <c r="AB31" s="206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6"/>
      <c r="AO31" s="206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6"/>
      <c r="BB31" s="206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6"/>
      <c r="BO31" s="206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6"/>
      <c r="CB31" s="206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6"/>
      <c r="CO31" s="206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6"/>
      <c r="DB31" s="206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6"/>
      <c r="DO31" s="206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6"/>
      <c r="EB31" s="206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6"/>
      <c r="EO31" s="206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6"/>
      <c r="FB31" s="206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6"/>
      <c r="FO31" s="206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6"/>
      <c r="GB31" s="206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6"/>
      <c r="GO31" s="206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6"/>
      <c r="HB31" s="206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6"/>
      <c r="HO31" s="206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6"/>
      <c r="IB31" s="206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6"/>
      <c r="IO31" s="206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6"/>
      <c r="AB38" s="206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6"/>
      <c r="AO38" s="206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6"/>
      <c r="BB38" s="206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6"/>
      <c r="BO38" s="206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6"/>
      <c r="CB38" s="206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6"/>
      <c r="CO38" s="206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6"/>
      <c r="DB38" s="206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6"/>
      <c r="DO38" s="206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6"/>
      <c r="EB38" s="206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6"/>
      <c r="EO38" s="206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6"/>
      <c r="FB38" s="206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6"/>
      <c r="FO38" s="206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6"/>
      <c r="GB38" s="206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6"/>
      <c r="GO38" s="206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6"/>
      <c r="HB38" s="206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6"/>
      <c r="HO38" s="206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6"/>
      <c r="IB38" s="206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6"/>
      <c r="IO38" s="206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6"/>
      <c r="AB39" s="206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6"/>
      <c r="AO39" s="206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6"/>
      <c r="BB39" s="206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6"/>
      <c r="BO39" s="206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6"/>
      <c r="CB39" s="206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6"/>
      <c r="CO39" s="206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6"/>
      <c r="DB39" s="206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6"/>
      <c r="DO39" s="206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6"/>
      <c r="EB39" s="206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6"/>
      <c r="EO39" s="206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6"/>
      <c r="FB39" s="206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6"/>
      <c r="FO39" s="206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6"/>
      <c r="GB39" s="206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6"/>
      <c r="GO39" s="206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6"/>
      <c r="HB39" s="206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6"/>
      <c r="HO39" s="206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6"/>
      <c r="IB39" s="206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6"/>
      <c r="IO39" s="206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6"/>
      <c r="AB40" s="206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6"/>
      <c r="AO40" s="206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6"/>
      <c r="BB40" s="206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6"/>
      <c r="BO40" s="206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6"/>
      <c r="CB40" s="206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6"/>
      <c r="CO40" s="206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6"/>
      <c r="DB40" s="206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6"/>
      <c r="DO40" s="206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6"/>
      <c r="EB40" s="206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6"/>
      <c r="EO40" s="206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6"/>
      <c r="FB40" s="206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6"/>
      <c r="FO40" s="206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6"/>
      <c r="GB40" s="206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6"/>
      <c r="GO40" s="206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6"/>
      <c r="HB40" s="206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6"/>
      <c r="HO40" s="206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6"/>
      <c r="IB40" s="206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6"/>
      <c r="IO40" s="206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0"/>
      <c r="B74" s="210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0"/>
      <c r="B75" s="210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0"/>
      <c r="B76" s="210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0"/>
      <c r="B77" s="210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0"/>
      <c r="B78" s="210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0"/>
      <c r="B79" s="210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0"/>
      <c r="B80" s="210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0"/>
      <c r="B81" s="210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0"/>
      <c r="B82" s="210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0"/>
      <c r="B83" s="210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0"/>
      <c r="B84" s="210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0"/>
      <c r="B85" s="210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0"/>
      <c r="B86" s="210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0"/>
      <c r="B87" s="210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0"/>
      <c r="B88" s="210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0"/>
      <c r="B89" s="210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0"/>
      <c r="B90" s="210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2016-10-06T13:13:49Z</cp:lastPrinted>
  <dcterms:created xsi:type="dcterms:W3CDTF">1997-12-04T19:04:30Z</dcterms:created>
  <dcterms:modified xsi:type="dcterms:W3CDTF">2016-11-30T16:39:53Z</dcterms:modified>
</cp:coreProperties>
</file>