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0" yWindow="0" windowWidth="25200" windowHeight="1213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72" i="1" l="1"/>
  <c r="B10" i="12"/>
  <c r="F50" i="1"/>
  <c r="F9" i="1"/>
  <c r="C20" i="12" l="1"/>
  <c r="C19" i="12"/>
  <c r="C21" i="12" l="1"/>
  <c r="B20" i="12"/>
  <c r="B19" i="12"/>
  <c r="B21" i="12"/>
  <c r="C10" i="12"/>
  <c r="B12" i="12"/>
  <c r="D11" i="13"/>
  <c r="H604" i="1" l="1"/>
  <c r="H595" i="1"/>
  <c r="H576" i="1"/>
  <c r="G521" i="1" l="1"/>
  <c r="F521" i="1"/>
  <c r="H521" i="1"/>
  <c r="H523" i="1"/>
  <c r="H541" i="1"/>
  <c r="G541" i="1"/>
  <c r="H197" i="1" l="1"/>
  <c r="H472" i="1" l="1"/>
  <c r="H468" i="1"/>
  <c r="H465" i="1"/>
  <c r="J468" i="1"/>
  <c r="J465" i="1"/>
  <c r="H282" i="1"/>
  <c r="H281" i="1"/>
  <c r="I276" i="1"/>
  <c r="G459" i="1" l="1"/>
  <c r="F459" i="1"/>
  <c r="G440" i="1"/>
  <c r="F440" i="1"/>
  <c r="H389" i="1"/>
  <c r="G389" i="1"/>
  <c r="F368" i="1"/>
  <c r="F367" i="1"/>
  <c r="H202" i="1" l="1"/>
  <c r="H205" i="1"/>
  <c r="H207" i="1"/>
  <c r="I205" i="1"/>
  <c r="G206" i="1"/>
  <c r="G204" i="1"/>
  <c r="K204" i="1"/>
  <c r="I204" i="1"/>
  <c r="H204" i="1" l="1"/>
  <c r="F204" i="1"/>
  <c r="H155" i="1" l="1"/>
  <c r="F57" i="1"/>
  <c r="J96" i="1" l="1"/>
  <c r="F110" i="1"/>
  <c r="F24" i="1"/>
  <c r="G203" i="1" l="1"/>
  <c r="H200" i="1" l="1"/>
  <c r="H234" i="1"/>
  <c r="H358" i="1" l="1"/>
  <c r="H48" i="1" l="1"/>
  <c r="H12" i="1"/>
  <c r="G40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20" i="2" s="1"/>
  <c r="L222" i="1"/>
  <c r="L240" i="1"/>
  <c r="D39" i="13"/>
  <c r="F13" i="13"/>
  <c r="G13" i="13"/>
  <c r="L206" i="1"/>
  <c r="C19" i="10" s="1"/>
  <c r="L224" i="1"/>
  <c r="L242" i="1"/>
  <c r="F16" i="13"/>
  <c r="G16" i="13"/>
  <c r="L209" i="1"/>
  <c r="L227" i="1"/>
  <c r="L245" i="1"/>
  <c r="F5" i="13"/>
  <c r="G5" i="13"/>
  <c r="L197" i="1"/>
  <c r="C109" i="2" s="1"/>
  <c r="L198" i="1"/>
  <c r="L199" i="1"/>
  <c r="L200" i="1"/>
  <c r="L215" i="1"/>
  <c r="L216" i="1"/>
  <c r="L217" i="1"/>
  <c r="L218" i="1"/>
  <c r="L233" i="1"/>
  <c r="L234" i="1"/>
  <c r="L235" i="1"/>
  <c r="C111" i="2" s="1"/>
  <c r="L236" i="1"/>
  <c r="F6" i="13"/>
  <c r="G6" i="13"/>
  <c r="L202" i="1"/>
  <c r="C118" i="2" s="1"/>
  <c r="L220" i="1"/>
  <c r="L238" i="1"/>
  <c r="F7" i="13"/>
  <c r="D7" i="13" s="1"/>
  <c r="C7" i="13" s="1"/>
  <c r="G7" i="13"/>
  <c r="L203" i="1"/>
  <c r="L221" i="1"/>
  <c r="L239" i="1"/>
  <c r="F12" i="13"/>
  <c r="G12" i="13"/>
  <c r="L205" i="1"/>
  <c r="L223" i="1"/>
  <c r="L241" i="1"/>
  <c r="F14" i="13"/>
  <c r="G14" i="13"/>
  <c r="L207" i="1"/>
  <c r="C123" i="2" s="1"/>
  <c r="L225" i="1"/>
  <c r="L243" i="1"/>
  <c r="F15" i="13"/>
  <c r="G15" i="13"/>
  <c r="L208" i="1"/>
  <c r="G649" i="1" s="1"/>
  <c r="L226" i="1"/>
  <c r="L244" i="1"/>
  <c r="F17" i="13"/>
  <c r="G17" i="13"/>
  <c r="L251" i="1"/>
  <c r="F18" i="13"/>
  <c r="D18" i="13" s="1"/>
  <c r="C18" i="13" s="1"/>
  <c r="G18" i="13"/>
  <c r="L252" i="1"/>
  <c r="F19" i="13"/>
  <c r="G19" i="13"/>
  <c r="L253" i="1"/>
  <c r="F29" i="13"/>
  <c r="D29" i="13" s="1"/>
  <c r="C29" i="13" s="1"/>
  <c r="G29" i="13"/>
  <c r="L358" i="1"/>
  <c r="H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25" i="10" s="1"/>
  <c r="L341" i="1"/>
  <c r="L342" i="1"/>
  <c r="L255" i="1"/>
  <c r="L336" i="1"/>
  <c r="E130" i="2" s="1"/>
  <c r="C11" i="13"/>
  <c r="C10" i="13"/>
  <c r="C9" i="13"/>
  <c r="L361" i="1"/>
  <c r="L362" i="1" s="1"/>
  <c r="B4" i="12"/>
  <c r="B36" i="12"/>
  <c r="C36" i="12"/>
  <c r="B40" i="12"/>
  <c r="A40" i="12" s="1"/>
  <c r="C40" i="12"/>
  <c r="B27" i="12"/>
  <c r="C27" i="12"/>
  <c r="A31" i="12" s="1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3" i="1" s="1"/>
  <c r="C138" i="2" s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G62" i="2" s="1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1" i="10"/>
  <c r="C12" i="10"/>
  <c r="C13" i="10"/>
  <c r="C16" i="10"/>
  <c r="C17" i="10"/>
  <c r="C20" i="10"/>
  <c r="L250" i="1"/>
  <c r="L332" i="1"/>
  <c r="L254" i="1"/>
  <c r="L268" i="1"/>
  <c r="L269" i="1"/>
  <c r="L349" i="1"/>
  <c r="L350" i="1"/>
  <c r="I665" i="1"/>
  <c r="I670" i="1"/>
  <c r="L229" i="1"/>
  <c r="F661" i="1"/>
  <c r="G661" i="1"/>
  <c r="G662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F552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D18" i="2" s="1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E62" i="2" s="1"/>
  <c r="E63" i="2" s="1"/>
  <c r="F59" i="2"/>
  <c r="D60" i="2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C78" i="2" s="1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E103" i="2" s="1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C112" i="2"/>
  <c r="E112" i="2"/>
  <c r="C113" i="2"/>
  <c r="E113" i="2"/>
  <c r="C114" i="2"/>
  <c r="E114" i="2"/>
  <c r="D115" i="2"/>
  <c r="F115" i="2"/>
  <c r="G115" i="2"/>
  <c r="C119" i="2"/>
  <c r="E119" i="2"/>
  <c r="E120" i="2"/>
  <c r="E121" i="2"/>
  <c r="E122" i="2"/>
  <c r="E123" i="2"/>
  <c r="E124" i="2"/>
  <c r="C125" i="2"/>
  <c r="E125" i="2"/>
  <c r="F128" i="2"/>
  <c r="G128" i="2"/>
  <c r="C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H32" i="1"/>
  <c r="I32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L256" i="1" s="1"/>
  <c r="H256" i="1"/>
  <c r="I256" i="1"/>
  <c r="J256" i="1"/>
  <c r="K256" i="1"/>
  <c r="F257" i="1"/>
  <c r="F271" i="1" s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L381" i="1"/>
  <c r="L382" i="1" s="1"/>
  <c r="G636" i="1" s="1"/>
  <c r="J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G408" i="1" s="1"/>
  <c r="H645" i="1" s="1"/>
  <c r="H407" i="1"/>
  <c r="I407" i="1"/>
  <c r="F408" i="1"/>
  <c r="I408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F461" i="1" s="1"/>
  <c r="H639" i="1" s="1"/>
  <c r="G460" i="1"/>
  <c r="G461" i="1" s="1"/>
  <c r="H640" i="1" s="1"/>
  <c r="H460" i="1"/>
  <c r="H461" i="1"/>
  <c r="H641" i="1" s="1"/>
  <c r="F470" i="1"/>
  <c r="G470" i="1"/>
  <c r="H470" i="1"/>
  <c r="I470" i="1"/>
  <c r="J470" i="1"/>
  <c r="F474" i="1"/>
  <c r="F476" i="1" s="1"/>
  <c r="H622" i="1" s="1"/>
  <c r="G474" i="1"/>
  <c r="H474" i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I545" i="1" s="1"/>
  <c r="J524" i="1"/>
  <c r="K524" i="1"/>
  <c r="K545" i="1" s="1"/>
  <c r="F529" i="1"/>
  <c r="G529" i="1"/>
  <c r="H529" i="1"/>
  <c r="I529" i="1"/>
  <c r="J529" i="1"/>
  <c r="K529" i="1"/>
  <c r="L529" i="1"/>
  <c r="F534" i="1"/>
  <c r="G534" i="1"/>
  <c r="G545" i="1" s="1"/>
  <c r="H534" i="1"/>
  <c r="I534" i="1"/>
  <c r="J534" i="1"/>
  <c r="K534" i="1"/>
  <c r="L534" i="1"/>
  <c r="F539" i="1"/>
  <c r="G539" i="1"/>
  <c r="H539" i="1"/>
  <c r="H545" i="1" s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3" i="1"/>
  <c r="L564" i="1"/>
  <c r="F565" i="1"/>
  <c r="G565" i="1"/>
  <c r="H565" i="1"/>
  <c r="I565" i="1"/>
  <c r="J565" i="1"/>
  <c r="J571" i="1" s="1"/>
  <c r="K565" i="1"/>
  <c r="L567" i="1"/>
  <c r="L568" i="1"/>
  <c r="L569" i="1"/>
  <c r="L570" i="1" s="1"/>
  <c r="F570" i="1"/>
  <c r="G570" i="1"/>
  <c r="H570" i="1"/>
  <c r="I570" i="1"/>
  <c r="I571" i="1" s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20" i="1"/>
  <c r="G622" i="1"/>
  <c r="G623" i="1"/>
  <c r="G625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39" i="1"/>
  <c r="G640" i="1"/>
  <c r="G641" i="1"/>
  <c r="J641" i="1" s="1"/>
  <c r="G642" i="1"/>
  <c r="G643" i="1"/>
  <c r="J643" i="1" s="1"/>
  <c r="H643" i="1"/>
  <c r="G644" i="1"/>
  <c r="G645" i="1"/>
  <c r="G650" i="1"/>
  <c r="G651" i="1"/>
  <c r="G652" i="1"/>
  <c r="H652" i="1"/>
  <c r="G653" i="1"/>
  <c r="H653" i="1"/>
  <c r="G654" i="1"/>
  <c r="H654" i="1"/>
  <c r="H655" i="1"/>
  <c r="I257" i="1"/>
  <c r="I271" i="1" s="1"/>
  <c r="C26" i="10"/>
  <c r="L328" i="1"/>
  <c r="L351" i="1"/>
  <c r="D17" i="13"/>
  <c r="C17" i="13" s="1"/>
  <c r="F78" i="2"/>
  <c r="D31" i="2"/>
  <c r="D50" i="2"/>
  <c r="D91" i="2"/>
  <c r="E31" i="2"/>
  <c r="D19" i="13"/>
  <c r="C19" i="13" s="1"/>
  <c r="E78" i="2"/>
  <c r="E81" i="2" s="1"/>
  <c r="H112" i="1"/>
  <c r="L433" i="1"/>
  <c r="I169" i="1"/>
  <c r="G552" i="1"/>
  <c r="I476" i="1"/>
  <c r="H625" i="1" s="1"/>
  <c r="J625" i="1" s="1"/>
  <c r="G476" i="1"/>
  <c r="H623" i="1" s="1"/>
  <c r="J140" i="1"/>
  <c r="F571" i="1"/>
  <c r="I552" i="1"/>
  <c r="K549" i="1"/>
  <c r="K550" i="1"/>
  <c r="G22" i="2"/>
  <c r="J552" i="1"/>
  <c r="H552" i="1"/>
  <c r="C29" i="10"/>
  <c r="H140" i="1"/>
  <c r="H571" i="1"/>
  <c r="J545" i="1"/>
  <c r="G192" i="1"/>
  <c r="H192" i="1"/>
  <c r="E16" i="13"/>
  <c r="G36" i="2"/>
  <c r="L565" i="1"/>
  <c r="K551" i="1"/>
  <c r="C16" i="13"/>
  <c r="H257" i="1" l="1"/>
  <c r="H271" i="1" s="1"/>
  <c r="A13" i="12"/>
  <c r="J649" i="1"/>
  <c r="K598" i="1"/>
  <c r="G647" i="1" s="1"/>
  <c r="J651" i="1"/>
  <c r="L524" i="1"/>
  <c r="L545" i="1" s="1"/>
  <c r="H476" i="1"/>
  <c r="H624" i="1" s="1"/>
  <c r="J476" i="1"/>
  <c r="H626" i="1" s="1"/>
  <c r="E118" i="2"/>
  <c r="H338" i="1"/>
  <c r="H352" i="1" s="1"/>
  <c r="L290" i="1"/>
  <c r="L338" i="1" s="1"/>
  <c r="L352" i="1" s="1"/>
  <c r="G633" i="1" s="1"/>
  <c r="J633" i="1" s="1"/>
  <c r="J338" i="1"/>
  <c r="J352" i="1" s="1"/>
  <c r="F22" i="13"/>
  <c r="C22" i="13" s="1"/>
  <c r="L309" i="1"/>
  <c r="G660" i="1" s="1"/>
  <c r="G664" i="1" s="1"/>
  <c r="G672" i="1" s="1"/>
  <c r="C5" i="10" s="1"/>
  <c r="G338" i="1"/>
  <c r="G352" i="1" s="1"/>
  <c r="E109" i="2"/>
  <c r="E115" i="2" s="1"/>
  <c r="C10" i="10"/>
  <c r="F338" i="1"/>
  <c r="F352" i="1" s="1"/>
  <c r="J640" i="1"/>
  <c r="J639" i="1"/>
  <c r="I460" i="1"/>
  <c r="I461" i="1" s="1"/>
  <c r="H642" i="1" s="1"/>
  <c r="L401" i="1"/>
  <c r="C139" i="2" s="1"/>
  <c r="H408" i="1"/>
  <c r="H644" i="1" s="1"/>
  <c r="J644" i="1" s="1"/>
  <c r="J634" i="1"/>
  <c r="D14" i="13"/>
  <c r="C14" i="13" s="1"/>
  <c r="F81" i="2"/>
  <c r="G164" i="2"/>
  <c r="G161" i="2"/>
  <c r="G157" i="2"/>
  <c r="G156" i="2"/>
  <c r="E128" i="2"/>
  <c r="D62" i="2"/>
  <c r="D12" i="13"/>
  <c r="C12" i="13" s="1"/>
  <c r="E8" i="13"/>
  <c r="C8" i="13" s="1"/>
  <c r="C121" i="2"/>
  <c r="C18" i="10"/>
  <c r="C122" i="2"/>
  <c r="E13" i="13"/>
  <c r="C13" i="13" s="1"/>
  <c r="J645" i="1"/>
  <c r="J655" i="1"/>
  <c r="D63" i="2"/>
  <c r="C35" i="10"/>
  <c r="F192" i="1"/>
  <c r="C81" i="2"/>
  <c r="F112" i="1"/>
  <c r="C18" i="2"/>
  <c r="D6" i="13"/>
  <c r="C6" i="13" s="1"/>
  <c r="C15" i="10"/>
  <c r="G257" i="1"/>
  <c r="G271" i="1" s="1"/>
  <c r="C110" i="2"/>
  <c r="C115" i="2" s="1"/>
  <c r="K257" i="1"/>
  <c r="K271" i="1" s="1"/>
  <c r="D5" i="13"/>
  <c r="C5" i="13" s="1"/>
  <c r="D15" i="13"/>
  <c r="C15" i="13" s="1"/>
  <c r="F662" i="1"/>
  <c r="I662" i="1" s="1"/>
  <c r="L211" i="1"/>
  <c r="F660" i="1" s="1"/>
  <c r="F664" i="1" s="1"/>
  <c r="F667" i="1" s="1"/>
  <c r="C21" i="10"/>
  <c r="H647" i="1"/>
  <c r="C124" i="2"/>
  <c r="L247" i="1"/>
  <c r="H25" i="13"/>
  <c r="C132" i="2"/>
  <c r="C25" i="13"/>
  <c r="H33" i="13"/>
  <c r="C32" i="10"/>
  <c r="I661" i="1"/>
  <c r="D127" i="2"/>
  <c r="D128" i="2" s="1"/>
  <c r="D145" i="2" s="1"/>
  <c r="J623" i="1"/>
  <c r="J622" i="1"/>
  <c r="J617" i="1"/>
  <c r="G624" i="1"/>
  <c r="J624" i="1" s="1"/>
  <c r="K500" i="1"/>
  <c r="G81" i="2"/>
  <c r="C62" i="2"/>
  <c r="C63" i="2" s="1"/>
  <c r="G112" i="1"/>
  <c r="K552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G63" i="2"/>
  <c r="J618" i="1"/>
  <c r="G42" i="2"/>
  <c r="G50" i="2" s="1"/>
  <c r="G51" i="2" s="1"/>
  <c r="J51" i="1"/>
  <c r="G16" i="2"/>
  <c r="J19" i="1"/>
  <c r="G621" i="1" s="1"/>
  <c r="G18" i="2"/>
  <c r="F545" i="1"/>
  <c r="H434" i="1"/>
  <c r="J620" i="1"/>
  <c r="J619" i="1"/>
  <c r="D103" i="2"/>
  <c r="I140" i="1"/>
  <c r="I193" i="1" s="1"/>
  <c r="G630" i="1" s="1"/>
  <c r="J630" i="1" s="1"/>
  <c r="A22" i="12"/>
  <c r="J652" i="1"/>
  <c r="J642" i="1"/>
  <c r="G571" i="1"/>
  <c r="I434" i="1"/>
  <c r="G434" i="1"/>
  <c r="I663" i="1"/>
  <c r="C27" i="10"/>
  <c r="G635" i="1"/>
  <c r="J635" i="1" s="1"/>
  <c r="J647" i="1" l="1"/>
  <c r="E33" i="13"/>
  <c r="D35" i="13" s="1"/>
  <c r="F104" i="2"/>
  <c r="H648" i="1"/>
  <c r="J648" i="1" s="1"/>
  <c r="E145" i="2"/>
  <c r="H646" i="1"/>
  <c r="C128" i="2"/>
  <c r="C145" i="2" s="1"/>
  <c r="D104" i="2"/>
  <c r="F193" i="1"/>
  <c r="G627" i="1" s="1"/>
  <c r="J627" i="1" s="1"/>
  <c r="C36" i="10"/>
  <c r="C104" i="2"/>
  <c r="G667" i="1"/>
  <c r="C28" i="10"/>
  <c r="D19" i="10" s="1"/>
  <c r="L257" i="1"/>
  <c r="L271" i="1" s="1"/>
  <c r="G632" i="1" s="1"/>
  <c r="J632" i="1" s="1"/>
  <c r="H660" i="1"/>
  <c r="H664" i="1" s="1"/>
  <c r="F672" i="1"/>
  <c r="C4" i="10" s="1"/>
  <c r="D31" i="13"/>
  <c r="C31" i="13" s="1"/>
  <c r="G104" i="2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D33" i="13" l="1"/>
  <c r="D36" i="13" s="1"/>
  <c r="D11" i="10"/>
  <c r="D12" i="10"/>
  <c r="D27" i="10"/>
  <c r="D16" i="10"/>
  <c r="D18" i="10"/>
  <c r="D20" i="10"/>
  <c r="D17" i="10"/>
  <c r="D24" i="10"/>
  <c r="D13" i="10"/>
  <c r="C30" i="10"/>
  <c r="D10" i="10"/>
  <c r="D26" i="10"/>
  <c r="D21" i="10"/>
  <c r="D23" i="10"/>
  <c r="D15" i="10"/>
  <c r="D25" i="10"/>
  <c r="D22" i="10"/>
  <c r="I660" i="1"/>
  <c r="I664" i="1" s="1"/>
  <c r="I672" i="1" s="1"/>
  <c r="C7" i="10" s="1"/>
  <c r="H672" i="1"/>
  <c r="C6" i="10" s="1"/>
  <c r="H667" i="1"/>
  <c r="H656" i="1"/>
  <c r="C41" i="10"/>
  <c r="D38" i="10" s="1"/>
  <c r="D28" i="10" l="1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<sst xmlns="http://schemas.openxmlformats.org/spreadsheetml/2006/main" count="3958" uniqueCount="915">
  <si>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</si>
  <si>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</si>
  <si>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</si>
  <si>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</si>
  <si>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</si>
  <si>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</si>
  <si>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</si>
  <si>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</si>
  <si>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</si>
  <si>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</si>
  <si>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</si>
  <si>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</si>
  <si>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</si>
  <si>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</si>
  <si>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</si>
  <si>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</si>
  <si>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</si>
  <si>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</si>
  <si>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</si>
  <si>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</si>
  <si>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</si>
  <si>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</si>
  <si>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</si>
  <si>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</si>
  <si>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</si>
  <si>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</si>
  <si>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</si>
  <si>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</si>
  <si>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</si>
  <si>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</si>
  <si>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</si>
  <si>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</si>
  <si>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</si>
  <si>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</si>
  <si>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</si>
  <si>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</si>
  <si>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</si>
  <si>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</si>
  <si>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</si>
  <si>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</si>
  <si>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</si>
  <si>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</si>
  <si>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</si>
  <si>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</si>
  <si>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</si>
  <si>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</si>
  <si>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</si>
  <si>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</si>
  <si>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</si>
  <si>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</si>
  <si>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</si>
  <si>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</si>
  <si>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</si>
  <si>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</si>
  <si>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</si>
  <si>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</si>
  <si>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</si>
  <si>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</si>
  <si>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</si>
  <si>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</si>
  <si>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</si>
  <si>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</si>
  <si>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</si>
  <si>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</si>
  <si>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</si>
  <si>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</si>
  <si>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</si>
  <si>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</si>
  <si>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</si>
  <si>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</si>
  <si>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</si>
  <si>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</si>
  <si>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</si>
  <si>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</si>
  <si>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</si>
  <si>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</si>
  <si>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</si>
  <si>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</si>
  <si>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</si>
  <si>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</si>
  <si>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</si>
  <si>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</si>
  <si>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</si>
  <si>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</si>
  <si>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</si>
  <si>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</si>
  <si>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</si>
  <si>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</si>
  <si>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</si>
  <si>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</si>
  <si>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</si>
  <si>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</si>
  <si>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</si>
  <si>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</si>
  <si>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</si>
  <si>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</si>
  <si>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</si>
  <si>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</si>
  <si>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</si>
  <si>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</si>
  <si>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</si>
  <si>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</si>
  <si>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</si>
  <si>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</si>
  <si>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</si>
  <si>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</si>
  <si>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</si>
  <si>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</si>
  <si>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</si>
  <si>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</si>
  <si>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</si>
  <si>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</si>
  <si>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</si>
  <si>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</si>
  <si>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</si>
  <si>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</si>
  <si>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</si>
  <si>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</si>
  <si>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</si>
  <si>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</si>
  <si>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</si>
  <si>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</si>
  <si>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</si>
  <si>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</si>
  <si>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</si>
  <si>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</si>
  <si>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</si>
  <si>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</si>
  <si>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</si>
  <si>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</si>
  <si>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</si>
  <si>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</si>
  <si>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</si>
  <si>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</si>
  <si>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</si>
  <si>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</si>
  <si>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</si>
  <si>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</si>
  <si>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</si>
  <si>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</si>
  <si>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</si>
  <si>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</si>
  <si>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</si>
  <si>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</si>
  <si>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</si>
  <si>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</si>
  <si>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</si>
  <si>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</si>
  <si>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</si>
  <si>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</si>
  <si>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</si>
  <si>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</si>
  <si>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</si>
  <si>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</si>
  <si>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</si>
  <si>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</si>
  <si>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</si>
  <si>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</si>
  <si>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</si>
  <si>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</si>
  <si>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</si>
  <si>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</si>
  <si>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</si>
  <si>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</si>
  <si>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</si>
  <si>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</si>
  <si>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</si>
  <si>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</si>
  <si>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</si>
  <si>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</si>
  <si>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</si>
  <si>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</si>
  <si>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</si>
  <si>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</si>
  <si>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</si>
  <si>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</si>
  <si>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</si>
  <si>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</si>
  <si>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</si>
  <si>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</si>
  <si>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</si>
  <si>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</si>
  <si>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</si>
  <si>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</si>
  <si>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</si>
  <si>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</si>
  <si>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</si>
  <si>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</si>
  <si>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</si>
  <si>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</si>
  <si>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</si>
  <si>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</si>
  <si>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</si>
  <si>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</si>
  <si>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</si>
  <si>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</si>
  <si>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</si>
  <si>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</si>
  <si>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</si>
  <si>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</si>
  <si>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</si>
  <si>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</si>
  <si>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</si>
  <si>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</si>
  <si>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</si>
  <si>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</si>
  <si>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</si>
  <si>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</si>
  <si>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</si>
  <si>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</si>
  <si>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</si>
  <si>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</si>
  <si>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</si>
  <si>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</si>
  <si>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</si>
  <si>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</si>
  <si>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</si>
  <si>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</si>
  <si>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</si>
  <si>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</si>
  <si>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</si>
  <si>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</si>
  <si>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</si>
  <si>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</si>
  <si>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</si>
  <si>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</si>
  <si>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</si>
  <si>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</si>
  <si>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</si>
  <si>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</si>
  <si>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</si>
  <si>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</si>
  <si>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</si>
  <si>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</si>
  <si>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</si>
  <si>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</si>
  <si>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</si>
  <si>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</si>
  <si>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</si>
  <si>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</si>
  <si>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</si>
  <si>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</si>
  <si>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</si>
  <si>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</si>
  <si>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</si>
  <si>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</si>
  <si>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</si>
  <si>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</si>
  <si>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</si>
  <si>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</si>
  <si>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</si>
  <si>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</si>
  <si>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</si>
  <si>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</si>
  <si>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</si>
  <si>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</si>
  <si>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</si>
  <si>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</si>
  <si>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</si>
  <si>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</si>
  <si>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</si>
  <si>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</si>
  <si>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</si>
  <si>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</si>
  <si>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</si>
  <si>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</si>
  <si>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</si>
  <si>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</si>
  <si>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</si>
  <si>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</si>
  <si>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</si>
  <si>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</si>
  <si>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</si>
  <si>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</si>
  <si>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</si>
  <si>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</si>
  <si>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</si>
  <si>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</si>
  <si>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</si>
  <si>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</si>
  <si>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</si>
  <si>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</si>
  <si>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</si>
  <si>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</si>
  <si>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</si>
  <si>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</si>
  <si>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</si>
  <si>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</si>
  <si>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</si>
  <si>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</si>
  <si>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</si>
  <si>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</si>
  <si>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</si>
  <si>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</si>
  <si>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</si>
  <si>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</si>
  <si>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</si>
  <si>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</si>
  <si>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</si>
  <si>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</si>
  <si>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</si>
  <si>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</si>
  <si>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</si>
  <si>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</si>
  <si>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</si>
  <si>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</si>
  <si>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</si>
  <si>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</si>
  <si>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</si>
  <si>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</si>
  <si>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</si>
  <si>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</si>
  <si>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</si>
  <si>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</si>
  <si>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</si>
  <si>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</si>
  <si>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</si>
  <si>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</si>
  <si>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</si>
  <si>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</si>
  <si>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</si>
  <si>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</si>
  <si>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</si>
  <si>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</si>
  <si>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</si>
  <si>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</si>
  <si>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</si>
  <si>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</si>
  <si>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</si>
  <si>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</si>
  <si>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</si>
  <si>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</si>
  <si>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</si>
  <si>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</si>
  <si>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</si>
  <si>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</si>
  <si>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</si>
  <si>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</si>
  <si>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</si>
  <si>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</si>
  <si>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</si>
  <si>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</si>
  <si>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</si>
  <si>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</si>
  <si>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</si>
  <si>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</si>
  <si>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</si>
  <si>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</si>
  <si>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</si>
  <si>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</si>
  <si>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</si>
  <si>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</si>
  <si>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</si>
  <si>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</si>
  <si>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</si>
  <si>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</si>
  <si>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</si>
  <si>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</si>
  <si>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</si>
  <si>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</si>
  <si>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</si>
  <si>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</si>
  <si>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</si>
  <si>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</si>
  <si>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</si>
  <si>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</si>
  <si>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</si>
  <si>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</si>
  <si>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</si>
  <si>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</si>
  <si>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</si>
  <si>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</si>
  <si>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</si>
  <si>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</si>
  <si>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</si>
  <si>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</si>
  <si>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</si>
  <si>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</si>
  <si>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</si>
  <si>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</si>
  <si>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</si>
  <si>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</si>
  <si>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</si>
  <si>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</si>
  <si>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</si>
  <si>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</si>
  <si>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</si>
  <si>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</si>
  <si>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</si>
  <si>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</si>
  <si>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</si>
  <si>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</si>
  <si>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</si>
  <si>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</si>
  <si>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</si>
  <si>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</si>
  <si>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</si>
  <si>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</si>
  <si>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</si>
  <si>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</si>
  <si>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</si>
  <si>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</si>
  <si>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</si>
  <si>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</si>
  <si>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</si>
  <si>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</si>
  <si>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</si>
  <si>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</si>
  <si>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</si>
  <si>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</si>
  <si>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</si>
  <si>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</si>
  <si>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</si>
  <si>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</si>
  <si>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</si>
  <si>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</si>
  <si>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</si>
  <si>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</si>
  <si>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</si>
  <si>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</si>
  <si>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</si>
  <si>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</si>
  <si>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</si>
  <si>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</si>
  <si>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</si>
  <si>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</si>
  <si>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</si>
  <si>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</si>
  <si>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</si>
  <si>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</si>
  <si>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</si>
  <si>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</si>
  <si>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</si>
  <si>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</si>
  <si>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</si>
  <si>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</si>
  <si>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</si>
  <si>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</si>
  <si>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</si>
  <si>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</si>
  <si>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</si>
  <si>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</si>
  <si>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</si>
  <si>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</si>
  <si>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</si>
  <si>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</si>
  <si>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</si>
  <si>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</si>
  <si>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</si>
  <si>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</si>
  <si>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</si>
  <si>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</si>
  <si>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</si>
  <si>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</si>
  <si>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</si>
  <si>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</si>
  <si>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</si>
  <si>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</si>
  <si>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</si>
  <si>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</si>
  <si>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</si>
  <si>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</si>
  <si>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</si>
  <si>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</si>
  <si>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</si>
  <si>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</si>
  <si>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</si>
  <si>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</si>
  <si>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</si>
  <si>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</si>
  <si>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</si>
  <si>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</si>
  <si>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</si>
  <si>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</si>
  <si>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</si>
  <si>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</si>
  <si>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</si>
  <si>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</si>
  <si>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</si>
  <si>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</si>
  <si>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</si>
  <si>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</si>
  <si>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</si>
  <si>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</si>
  <si>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</si>
  <si>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</si>
  <si>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</si>
  <si>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</si>
  <si>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</si>
  <si>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</si>
  <si>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</si>
  <si>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</si>
  <si>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</si>
  <si>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</si>
  <si>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</si>
  <si>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</si>
  <si>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</si>
  <si>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</si>
  <si>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</si>
  <si>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</si>
  <si>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</si>
  <si>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</si>
  <si>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</si>
  <si>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</si>
  <si>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</si>
  <si>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</si>
  <si>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</si>
  <si>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</si>
  <si>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</si>
  <si>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</si>
  <si>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</si>
  <si>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</si>
  <si>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</si>
  <si>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</si>
  <si>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</si>
  <si>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</si>
  <si>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</si>
  <si>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</si>
  <si>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</si>
  <si>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</si>
  <si>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</si>
  <si>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</si>
  <si>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</si>
  <si>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</si>
  <si>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</si>
  <si>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</si>
  <si>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</si>
  <si>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</si>
  <si>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</si>
  <si>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</si>
  <si>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</si>
  <si>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</si>
  <si>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</si>
  <si>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</si>
  <si>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</si>
  <si>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</si>
  <si>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</si>
  <si>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</si>
  <si>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</si>
  <si>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</si>
  <si>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</si>
  <si>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</si>
  <si>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</si>
  <si>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</si>
  <si>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</si>
  <si>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</si>
  <si>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</si>
  <si>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</si>
  <si>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</si>
  <si>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</si>
  <si>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</si>
  <si>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</si>
  <si>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</si>
  <si>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</si>
  <si>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</si>
  <si>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</si>
  <si>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</si>
  <si>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</si>
  <si>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</si>
  <si>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</si>
  <si>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</si>
  <si>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</si>
  <si>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</si>
  <si>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</si>
  <si>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</si>
  <si>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</si>
  <si>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</si>
  <si>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</si>
  <si>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</si>
  <si>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</si>
  <si>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</si>
  <si>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</si>
  <si>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</si>
  <si>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</si>
  <si>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</si>
  <si>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</si>
  <si>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</si>
  <si>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</si>
  <si>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</si>
  <si>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</si>
  <si>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</si>
  <si>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</si>
  <si>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</si>
  <si>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</si>
  <si>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</si>
  <si>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</si>
  <si>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</si>
  <si>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</si>
  <si>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</si>
  <si>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</si>
  <si>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</si>
  <si>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</si>
  <si>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</si>
  <si>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</si>
  <si>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</si>
  <si>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</si>
  <si>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</si>
  <si>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</si>
  <si>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</si>
  <si>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</si>
  <si>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</si>
  <si>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</si>
  <si>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</si>
  <si>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</si>
  <si>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</si>
  <si>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</si>
  <si>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</si>
  <si>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</si>
  <si>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</si>
  <si>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</si>
  <si>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</si>
  <si>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</si>
  <si>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</si>
  <si>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</si>
  <si>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</si>
  <si>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</si>
  <si>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</si>
  <si>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</si>
  <si>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</si>
  <si>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</si>
  <si>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</si>
  <si>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</si>
  <si>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</si>
  <si>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</si>
  <si>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</si>
  <si>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</si>
  <si>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</si>
  <si>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</si>
  <si>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</si>
  <si>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</si>
  <si>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</si>
  <si>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</si>
  <si>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</si>
  <si>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</si>
  <si>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</si>
  <si>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</si>
  <si>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</si>
  <si>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</si>
  <si>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</si>
  <si>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</si>
  <si>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</si>
  <si>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</si>
  <si>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</si>
  <si>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</si>
  <si>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</si>
  <si>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</si>
  <si>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</si>
  <si>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</si>
  <si>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</si>
  <si>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</si>
  <si>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</si>
  <si>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</si>
  <si>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</si>
  <si>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</si>
  <si>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</si>
  <si>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</si>
  <si>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</si>
  <si>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</si>
  <si>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</si>
  <si>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</si>
  <si>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</si>
  <si>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</si>
  <si>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</si>
  <si>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</si>
  <si>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</si>
  <si>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</si>
  <si>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</si>
  <si>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</si>
  <si>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</si>
  <si>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</si>
  <si>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</si>
  <si>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</si>
  <si>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</si>
  <si>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</si>
  <si>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</si>
  <si>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</si>
  <si>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</si>
  <si>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</si>
  <si>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</si>
  <si>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</si>
  <si>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</si>
  <si>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</si>
  <si>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</si>
  <si>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</si>
  <si>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</si>
  <si>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</si>
  <si>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</si>
  <si>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</si>
  <si>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</si>
  <si>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</si>
  <si>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</si>
  <si>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</si>
  <si>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</si>
  <si>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</si>
  <si>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</si>
  <si>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</si>
  <si>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</si>
  <si>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</si>
  <si>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</si>
  <si>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</si>
  <si>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</si>
  <si>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</si>
  <si>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</si>
  <si>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</si>
  <si>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</si>
  <si>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</si>
  <si>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</si>
  <si>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</si>
  <si>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</si>
  <si>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</si>
  <si>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</si>
  <si>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</si>
  <si>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</si>
  <si>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</si>
  <si>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</si>
  <si>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</si>
  <si>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</si>
  <si>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</si>
  <si>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</si>
  <si>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</si>
  <si>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</si>
  <si>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</si>
  <si>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</si>
  <si>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</si>
  <si>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</si>
  <si>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</si>
  <si>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</si>
  <si>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</si>
  <si>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</si>
  <si>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</si>
  <si>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</si>
  <si>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</si>
  <si>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</si>
  <si>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</si>
  <si>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</si>
  <si>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</si>
  <si>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</si>
  <si>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</si>
  <si>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</si>
  <si>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</si>
  <si>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</si>
  <si>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</si>
  <si>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</si>
  <si>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</si>
  <si>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</si>
  <si>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</si>
  <si>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</si>
  <si>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</si>
  <si>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</si>
  <si>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</si>
  <si>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</si>
  <si>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</si>
  <si>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</si>
  <si>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</si>
  <si>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</si>
  <si>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</si>
  <si>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</si>
  <si>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</si>
  <si>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</si>
  <si>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</si>
  <si>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</si>
  <si>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</si>
  <si>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</si>
  <si>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</si>
  <si>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</si>
  <si>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</si>
  <si>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</si>
  <si>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</si>
  <si>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</si>
  <si>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</si>
  <si>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</si>
  <si>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</si>
  <si>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</si>
  <si>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</si>
  <si>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</si>
  <si>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</si>
  <si>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</si>
  <si>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</si>
  <si>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</si>
  <si>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</si>
  <si>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</si>
  <si>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</si>
  <si>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</si>
  <si>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</si>
  <si>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</si>
  <si>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</si>
  <si>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</si>
  <si>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</si>
  <si>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</si>
  <si>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</si>
  <si>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</si>
  <si>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</si>
  <si>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</si>
  <si>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</si>
  <si>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</si>
  <si>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</si>
  <si>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</si>
  <si>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</si>
  <si>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</si>
  <si>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</si>
  <si>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</si>
  <si>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</si>
  <si>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</si>
  <si>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</si>
  <si>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</si>
  <si>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</si>
  <si>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</si>
  <si>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</si>
  <si>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</si>
  <si>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</si>
  <si>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</si>
  <si>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</si>
  <si>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</si>
  <si>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</si>
  <si>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</si>
  <si>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</si>
  <si>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</si>
  <si>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</si>
  <si>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</si>
  <si>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</si>
  <si>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</si>
  <si>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</si>
  <si>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</si>
  <si>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</si>
  <si>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</si>
  <si>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</si>
  <si>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</si>
  <si>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</si>
  <si>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</si>
  <si>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</si>
  <si>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</si>
  <si>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</si>
  <si>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</si>
  <si>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</si>
  <si>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</si>
  <si>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</si>
  <si>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</si>
  <si>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</si>
  <si>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</si>
  <si>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</si>
  <si>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</si>
  <si>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</si>
  <si>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</si>
  <si>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</si>
  <si>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</si>
  <si>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</si>
  <si>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</si>
  <si>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</si>
  <si>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</si>
  <si>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</si>
  <si>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</si>
  <si>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</si>
  <si>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</si>
  <si>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</si>
  <si>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</si>
  <si>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</si>
  <si>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</si>
  <si>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</si>
  <si>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</si>
  <si>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</si>
  <si>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</si>
  <si>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</si>
  <si>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</si>
  <si>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</si>
  <si>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</si>
  <si>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</si>
  <si>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</si>
  <si>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</si>
  <si>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</si>
  <si>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</si>
  <si>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</si>
  <si>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</si>
  <si>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</si>
  <si>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</si>
  <si>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</si>
  <si>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</si>
  <si>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</si>
  <si>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</si>
  <si>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</si>
  <si>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</si>
  <si>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</si>
  <si>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</si>
  <si>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</si>
  <si>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</si>
  <si>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</si>
  <si>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</si>
  <si>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</si>
  <si>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</si>
  <si>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</si>
  <si>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</si>
  <si>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</si>
  <si>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</si>
  <si>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</si>
  <si>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</si>
  <si>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</si>
  <si>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</si>
  <si>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</si>
  <si>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</si>
  <si>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</si>
  <si>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</si>
  <si>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</si>
  <si>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</si>
  <si>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</si>
  <si>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</si>
  <si>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</si>
  <si>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</si>
  <si>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</si>
  <si>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</si>
  <si>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</si>
  <si>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</si>
  <si>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</si>
  <si>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</si>
  <si>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07/14</t>
  </si>
  <si>
    <t>07/16</t>
  </si>
  <si>
    <t>Monroe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</si>
</sst>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22" activePane="bottomRight" state="frozen"/>
      <selection activeCell="F472" sqref="F472"/>
      <selection pane="topRight" activeCell="F472" sqref="F472"/>
      <selection pane="bottomLeft" activeCell="F472" sqref="F472"/>
      <selection pane="bottomRight" activeCell="H593" sqref="H59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914</v>
      </c>
      <c r="B2" s="21">
        <v>365</v>
      </c>
      <c r="C2" s="21">
        <v>365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80264.66+100.05+41274.98</f>
        <v>121639.69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344498.1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1086.52</v>
      </c>
      <c r="G12" s="18">
        <v>3685.84</v>
      </c>
      <c r="H12" s="18">
        <f>1116.84+-5889.21</f>
        <v>-4772.37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54.3</v>
      </c>
      <c r="G14" s="18">
        <v>930.95</v>
      </c>
      <c r="H14" s="18">
        <v>6034.92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1608.57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124389.08000000002</v>
      </c>
      <c r="G19" s="41">
        <f>SUM(G9:G18)</f>
        <v>4616.79</v>
      </c>
      <c r="H19" s="41">
        <f>SUM(H9:H18)</f>
        <v>1262.5500000000002</v>
      </c>
      <c r="I19" s="41">
        <f>SUM(I9:I18)</f>
        <v>0</v>
      </c>
      <c r="J19" s="41">
        <f>SUM(J9:J18)</f>
        <v>344498.1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27431.34+1812.93</f>
        <v>29244.27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-102.93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29141.34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1608.57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f>3653.08+963.71</f>
        <v>4616.79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f>655.11-509.4+1116.84</f>
        <v>1262.55</v>
      </c>
      <c r="I48" s="18"/>
      <c r="J48" s="13">
        <f>SUM(I459)</f>
        <v>344498.1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303741.77-208494.03-1608.57</f>
        <v>93639.170000000013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95247.74000000002</v>
      </c>
      <c r="G51" s="41">
        <f>SUM(G35:G50)</f>
        <v>4616.79</v>
      </c>
      <c r="H51" s="41">
        <f>SUM(H35:H50)</f>
        <v>1262.55</v>
      </c>
      <c r="I51" s="41">
        <f>SUM(I35:I50)</f>
        <v>0</v>
      </c>
      <c r="J51" s="41">
        <f>SUM(J35:J50)</f>
        <v>344498.1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124389.08000000002</v>
      </c>
      <c r="G52" s="41">
        <f>G51+G32</f>
        <v>4616.79</v>
      </c>
      <c r="H52" s="41">
        <f>H51+H32</f>
        <v>1262.55</v>
      </c>
      <c r="I52" s="41">
        <f>I51+I32</f>
        <v>0</v>
      </c>
      <c r="J52" s="41">
        <f>J51+J32</f>
        <v>344498.1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f>2134018+110058</f>
        <v>2244076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2244076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1089.8699999999999</v>
      </c>
      <c r="G96" s="18"/>
      <c r="H96" s="18"/>
      <c r="I96" s="18"/>
      <c r="J96" s="18">
        <f>130.86+56.71+45.25+1.03+183.45+331.67+33.78</f>
        <v>782.75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14626.53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4266.48+15782.73</f>
        <v>20049.21</v>
      </c>
      <c r="G110" s="18"/>
      <c r="H110" s="18">
        <v>4075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21139.079999999998</v>
      </c>
      <c r="G111" s="41">
        <f>SUM(G96:G110)</f>
        <v>14626.53</v>
      </c>
      <c r="H111" s="41">
        <f>SUM(H96:H110)</f>
        <v>4075</v>
      </c>
      <c r="I111" s="41">
        <f>SUM(I96:I110)</f>
        <v>0</v>
      </c>
      <c r="J111" s="41">
        <f>SUM(J96:J110)</f>
        <v>782.75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2265215.08</v>
      </c>
      <c r="G112" s="41">
        <f>G60+G111</f>
        <v>14626.53</v>
      </c>
      <c r="H112" s="41">
        <f>H60+H79+H94+H111</f>
        <v>4075</v>
      </c>
      <c r="I112" s="41">
        <f>I60+I111</f>
        <v>0</v>
      </c>
      <c r="J112" s="41">
        <f>J60+J111</f>
        <v>782.75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339213.94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180433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519646.94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41660.75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525.41999999999996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41660.75</v>
      </c>
      <c r="G136" s="41">
        <f>SUM(G123:G135)</f>
        <v>525.41999999999996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561307.68999999994</v>
      </c>
      <c r="G140" s="41">
        <f>G121+SUM(G136:G137)</f>
        <v>525.41999999999996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9190.42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12232.45+20393.25+2714.08+10000</f>
        <v>45339.78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21879.67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25816.15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43715.5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25816.15</v>
      </c>
      <c r="G162" s="41">
        <f>SUM(G150:G161)</f>
        <v>21879.67</v>
      </c>
      <c r="H162" s="41">
        <f>SUM(H150:H161)</f>
        <v>98245.7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183.71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25999.86</v>
      </c>
      <c r="G169" s="41">
        <f>G147+G162+SUM(G163:G168)</f>
        <v>21879.67</v>
      </c>
      <c r="H169" s="41">
        <f>H147+H162+SUM(H163:H168)</f>
        <v>98245.7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45058</v>
      </c>
      <c r="H179" s="18"/>
      <c r="I179" s="18"/>
      <c r="J179" s="18">
        <v>65000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45058</v>
      </c>
      <c r="H183" s="41">
        <f>SUM(H179:H182)</f>
        <v>0</v>
      </c>
      <c r="I183" s="41">
        <f>SUM(I179:I182)</f>
        <v>0</v>
      </c>
      <c r="J183" s="41">
        <f>SUM(J179:J182)</f>
        <v>65000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45058</v>
      </c>
      <c r="H192" s="41">
        <f>+H183+SUM(H188:H191)</f>
        <v>0</v>
      </c>
      <c r="I192" s="41">
        <f>I177+I183+SUM(I188:I191)</f>
        <v>0</v>
      </c>
      <c r="J192" s="41">
        <f>J183</f>
        <v>65000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2852522.63</v>
      </c>
      <c r="G193" s="47">
        <f>G112+G140+G169+G192</f>
        <v>82089.62</v>
      </c>
      <c r="H193" s="47">
        <f>H112+H140+H169+H192</f>
        <v>102320.7</v>
      </c>
      <c r="I193" s="47">
        <f>I112+I140+I169+I192</f>
        <v>0</v>
      </c>
      <c r="J193" s="47">
        <f>J112+J140+J192</f>
        <v>65782.75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452512.57</v>
      </c>
      <c r="G197" s="18">
        <v>251637</v>
      </c>
      <c r="H197" s="18">
        <f>21379.25+219.35</f>
        <v>21598.6</v>
      </c>
      <c r="I197" s="18">
        <v>14573.81</v>
      </c>
      <c r="J197" s="18">
        <v>15498.21</v>
      </c>
      <c r="K197" s="18">
        <v>586.5</v>
      </c>
      <c r="L197" s="19">
        <f>SUM(F197:K197)</f>
        <v>756406.69000000006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167968.4</v>
      </c>
      <c r="G198" s="18">
        <v>82697.429999999993</v>
      </c>
      <c r="H198" s="18">
        <v>44631.62</v>
      </c>
      <c r="I198" s="18">
        <v>745.21</v>
      </c>
      <c r="J198" s="18">
        <v>364.94</v>
      </c>
      <c r="K198" s="18">
        <v>3242.63</v>
      </c>
      <c r="L198" s="19">
        <f>SUM(F198:K198)</f>
        <v>299650.23000000004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3915</v>
      </c>
      <c r="G200" s="18">
        <v>329.93</v>
      </c>
      <c r="H200" s="18">
        <f>1785+58</f>
        <v>1843</v>
      </c>
      <c r="I200" s="18">
        <v>976.54</v>
      </c>
      <c r="J200" s="18">
        <v>1113</v>
      </c>
      <c r="K200" s="18">
        <v>710</v>
      </c>
      <c r="L200" s="19">
        <f>SUM(F200:K200)</f>
        <v>8887.4700000000012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20183.900000000001</v>
      </c>
      <c r="G202" s="18">
        <v>1969.68</v>
      </c>
      <c r="H202" s="18">
        <f>21012.66+238.85+25308+28676.5+9360+6246.5+306.5</f>
        <v>91149.01</v>
      </c>
      <c r="I202" s="18">
        <v>377.26</v>
      </c>
      <c r="J202" s="18"/>
      <c r="K202" s="18">
        <v>2360.13</v>
      </c>
      <c r="L202" s="19">
        <f t="shared" ref="L202:L208" si="0">SUM(F202:K202)</f>
        <v>116039.98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34162.730000000003</v>
      </c>
      <c r="G203" s="18">
        <f>2709+20019.01</f>
        <v>22728.01</v>
      </c>
      <c r="H203" s="18">
        <v>2245.9299999999998</v>
      </c>
      <c r="I203" s="18">
        <v>2080.0300000000002</v>
      </c>
      <c r="J203" s="18"/>
      <c r="K203" s="18"/>
      <c r="L203" s="19">
        <f t="shared" si="0"/>
        <v>61216.700000000004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4400+2000.04+320+15447.39</f>
        <v>22167.43</v>
      </c>
      <c r="G204" s="18">
        <f>336.62+153.1+24.48+1181.73+119.55</f>
        <v>1815.48</v>
      </c>
      <c r="H204" s="18">
        <f>80257.73+140.94+2083.24-346.28+3800+337.52+58.85+2311.18+7450+15291.11</f>
        <v>111384.29000000001</v>
      </c>
      <c r="I204" s="18">
        <f>1006.92-108.8+2.45</f>
        <v>900.57</v>
      </c>
      <c r="J204" s="18">
        <v>0</v>
      </c>
      <c r="K204" s="18">
        <f>2739.85+934</f>
        <v>3673.85</v>
      </c>
      <c r="L204" s="19">
        <f>SUM(F204:K204)</f>
        <v>139941.62000000002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4">
        <v>122439.76</v>
      </c>
      <c r="G205" s="18">
        <v>45959.32</v>
      </c>
      <c r="H205" s="18">
        <f>14952.94+4426.68</f>
        <v>19379.620000000003</v>
      </c>
      <c r="I205" s="18">
        <f>307.14+7526.5</f>
        <v>7833.64</v>
      </c>
      <c r="J205" s="18">
        <v>64.98</v>
      </c>
      <c r="K205" s="18">
        <v>3211.25</v>
      </c>
      <c r="L205" s="19">
        <f t="shared" si="0"/>
        <v>198888.57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50000.08</v>
      </c>
      <c r="G206" s="18">
        <f>8661.78+137.4+5585.05+3659.46+478.2+405</f>
        <v>18926.89</v>
      </c>
      <c r="H206" s="18">
        <v>346.28</v>
      </c>
      <c r="I206" s="18">
        <v>108.8</v>
      </c>
      <c r="J206" s="18">
        <v>0</v>
      </c>
      <c r="K206" s="18">
        <v>0</v>
      </c>
      <c r="L206" s="19">
        <f t="shared" si="0"/>
        <v>69382.05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33092.5</v>
      </c>
      <c r="G207" s="18">
        <v>4080.41</v>
      </c>
      <c r="H207" s="18">
        <f>78574.5+1675+1430</f>
        <v>81679.5</v>
      </c>
      <c r="I207" s="18">
        <v>30139.33</v>
      </c>
      <c r="J207" s="18">
        <v>0</v>
      </c>
      <c r="K207" s="18">
        <v>1286.75</v>
      </c>
      <c r="L207" s="19">
        <f t="shared" si="0"/>
        <v>150278.49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6840</v>
      </c>
      <c r="G208" s="18">
        <v>1338.26</v>
      </c>
      <c r="H208" s="18">
        <v>45040.78</v>
      </c>
      <c r="I208" s="18"/>
      <c r="J208" s="18"/>
      <c r="K208" s="18"/>
      <c r="L208" s="19">
        <f t="shared" si="0"/>
        <v>53219.040000000001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913282.37</v>
      </c>
      <c r="G211" s="41">
        <f t="shared" si="1"/>
        <v>431482.41</v>
      </c>
      <c r="H211" s="41">
        <f t="shared" si="1"/>
        <v>419298.63</v>
      </c>
      <c r="I211" s="41">
        <f t="shared" si="1"/>
        <v>57735.19</v>
      </c>
      <c r="J211" s="41">
        <f t="shared" si="1"/>
        <v>17041.13</v>
      </c>
      <c r="K211" s="41">
        <f t="shared" si="1"/>
        <v>15071.11</v>
      </c>
      <c r="L211" s="41">
        <f t="shared" si="1"/>
        <v>1853910.8400000003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627337.61</v>
      </c>
      <c r="I233" s="18"/>
      <c r="J233" s="18"/>
      <c r="K233" s="18"/>
      <c r="L233" s="19">
        <f>SUM(F233:K233)</f>
        <v>627337.61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f>247112.22+70578.66</f>
        <v>317690.88</v>
      </c>
      <c r="I234" s="18"/>
      <c r="J234" s="18"/>
      <c r="K234" s="18"/>
      <c r="L234" s="19">
        <f>SUM(F234:K234)</f>
        <v>317690.88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23671.29</v>
      </c>
      <c r="I235" s="18"/>
      <c r="J235" s="18"/>
      <c r="K235" s="18"/>
      <c r="L235" s="19">
        <f>SUM(F235:K235)</f>
        <v>23671.29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44726</v>
      </c>
      <c r="I244" s="18"/>
      <c r="J244" s="18"/>
      <c r="K244" s="18"/>
      <c r="L244" s="19">
        <f t="shared" si="4"/>
        <v>44726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1013425.78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1013425.78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43715.5</v>
      </c>
      <c r="I255" s="18"/>
      <c r="J255" s="18"/>
      <c r="K255" s="18"/>
      <c r="L255" s="19">
        <f t="shared" si="6"/>
        <v>43715.5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43715.5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43715.5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913282.37</v>
      </c>
      <c r="G257" s="41">
        <f t="shared" si="8"/>
        <v>431482.41</v>
      </c>
      <c r="H257" s="41">
        <f t="shared" si="8"/>
        <v>1476439.9100000001</v>
      </c>
      <c r="I257" s="41">
        <f t="shared" si="8"/>
        <v>57735.19</v>
      </c>
      <c r="J257" s="41">
        <f t="shared" si="8"/>
        <v>17041.13</v>
      </c>
      <c r="K257" s="41">
        <f t="shared" si="8"/>
        <v>15071.11</v>
      </c>
      <c r="L257" s="41">
        <f t="shared" si="8"/>
        <v>2911052.12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38400</v>
      </c>
      <c r="L260" s="19">
        <f>SUM(F260:K260)</f>
        <v>38400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1506.54</v>
      </c>
      <c r="L261" s="19">
        <f>SUM(F261:K261)</f>
        <v>1506.54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45058</v>
      </c>
      <c r="L263" s="19">
        <f>SUM(F263:K263)</f>
        <v>45058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65000</v>
      </c>
      <c r="L266" s="19">
        <f t="shared" si="9"/>
        <v>65000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149964.54</v>
      </c>
      <c r="L270" s="41">
        <f t="shared" si="9"/>
        <v>149964.54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913282.37</v>
      </c>
      <c r="G271" s="42">
        <f t="shared" si="11"/>
        <v>431482.41</v>
      </c>
      <c r="H271" s="42">
        <f t="shared" si="11"/>
        <v>1476439.9100000001</v>
      </c>
      <c r="I271" s="42">
        <f t="shared" si="11"/>
        <v>57735.19</v>
      </c>
      <c r="J271" s="42">
        <f t="shared" si="11"/>
        <v>17041.13</v>
      </c>
      <c r="K271" s="42">
        <f t="shared" si="11"/>
        <v>165035.65000000002</v>
      </c>
      <c r="L271" s="42">
        <f t="shared" si="11"/>
        <v>3061016.66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11681.62</v>
      </c>
      <c r="G276" s="18">
        <v>1155.01</v>
      </c>
      <c r="H276" s="18">
        <v>1700</v>
      </c>
      <c r="I276" s="18">
        <f>3822.84+410.72</f>
        <v>4233.5600000000004</v>
      </c>
      <c r="J276" s="18">
        <v>9593.4500000000007</v>
      </c>
      <c r="K276" s="18"/>
      <c r="L276" s="19">
        <f>SUM(F276:K276)</f>
        <v>28363.640000000003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16673.96</v>
      </c>
      <c r="G277" s="18">
        <v>1471.06</v>
      </c>
      <c r="H277" s="18"/>
      <c r="I277" s="18"/>
      <c r="J277" s="18"/>
      <c r="K277" s="18"/>
      <c r="L277" s="19">
        <f>SUM(F277:K277)</f>
        <v>18145.02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>
        <f>3281.25+535.17</f>
        <v>3816.42</v>
      </c>
      <c r="I281" s="18">
        <v>494.11</v>
      </c>
      <c r="J281" s="18">
        <v>1190.17</v>
      </c>
      <c r="K281" s="18"/>
      <c r="L281" s="19">
        <f t="shared" ref="L281:L287" si="12">SUM(F281:K281)</f>
        <v>5500.7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312.5</v>
      </c>
      <c r="G282" s="18">
        <v>428.9</v>
      </c>
      <c r="H282" s="18">
        <f>4919.01+327.99</f>
        <v>5247</v>
      </c>
      <c r="I282" s="18"/>
      <c r="J282" s="18"/>
      <c r="K282" s="18"/>
      <c r="L282" s="19">
        <f t="shared" si="12"/>
        <v>5988.4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28668.080000000002</v>
      </c>
      <c r="G290" s="42">
        <f t="shared" si="13"/>
        <v>3054.97</v>
      </c>
      <c r="H290" s="42">
        <f t="shared" si="13"/>
        <v>10763.42</v>
      </c>
      <c r="I290" s="42">
        <f t="shared" si="13"/>
        <v>4727.67</v>
      </c>
      <c r="J290" s="42">
        <f t="shared" si="13"/>
        <v>10783.62</v>
      </c>
      <c r="K290" s="42">
        <f t="shared" si="13"/>
        <v>0</v>
      </c>
      <c r="L290" s="41">
        <f t="shared" si="13"/>
        <v>57997.760000000002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>
        <v>43715.5</v>
      </c>
      <c r="I336" s="18"/>
      <c r="J336" s="18"/>
      <c r="K336" s="18"/>
      <c r="L336" s="19">
        <f t="shared" si="18"/>
        <v>43715.5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43715.5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43715.5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28668.080000000002</v>
      </c>
      <c r="G338" s="41">
        <f t="shared" si="20"/>
        <v>3054.97</v>
      </c>
      <c r="H338" s="41">
        <f t="shared" si="20"/>
        <v>54478.92</v>
      </c>
      <c r="I338" s="41">
        <f t="shared" si="20"/>
        <v>4727.67</v>
      </c>
      <c r="J338" s="41">
        <f t="shared" si="20"/>
        <v>10783.62</v>
      </c>
      <c r="K338" s="41">
        <f t="shared" si="20"/>
        <v>0</v>
      </c>
      <c r="L338" s="41">
        <f t="shared" si="20"/>
        <v>101713.26000000001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28668.080000000002</v>
      </c>
      <c r="G352" s="41">
        <f>G338</f>
        <v>3054.97</v>
      </c>
      <c r="H352" s="41">
        <f>H338</f>
        <v>54478.92</v>
      </c>
      <c r="I352" s="41">
        <f>I338</f>
        <v>4727.67</v>
      </c>
      <c r="J352" s="41">
        <f>J338</f>
        <v>10783.62</v>
      </c>
      <c r="K352" s="47">
        <f>K338+K351</f>
        <v>0</v>
      </c>
      <c r="L352" s="41">
        <f>L338+L351</f>
        <v>101713.26000000001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28970.65</v>
      </c>
      <c r="G358" s="18">
        <v>23413.21</v>
      </c>
      <c r="H358" s="18">
        <f>829.14+358.57</f>
        <v>1187.71</v>
      </c>
      <c r="I358" s="18">
        <v>21067.34</v>
      </c>
      <c r="J358" s="18">
        <v>6487</v>
      </c>
      <c r="K358" s="18"/>
      <c r="L358" s="13">
        <f>SUM(F358:K358)</f>
        <v>81125.91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28970.65</v>
      </c>
      <c r="G362" s="47">
        <f t="shared" si="22"/>
        <v>23413.21</v>
      </c>
      <c r="H362" s="47">
        <f t="shared" si="22"/>
        <v>1187.71</v>
      </c>
      <c r="I362" s="47">
        <f t="shared" si="22"/>
        <v>21067.34</v>
      </c>
      <c r="J362" s="47">
        <f t="shared" si="22"/>
        <v>6487</v>
      </c>
      <c r="K362" s="47">
        <f t="shared" si="22"/>
        <v>0</v>
      </c>
      <c r="L362" s="47">
        <f t="shared" si="22"/>
        <v>81125.91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15588.63+2284.91</f>
        <v>17873.54</v>
      </c>
      <c r="G367" s="18"/>
      <c r="H367" s="18"/>
      <c r="I367" s="56">
        <f>SUM(F367:H367)</f>
        <v>17873.54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1456.95+1736.85</f>
        <v>3193.8</v>
      </c>
      <c r="G368" s="63"/>
      <c r="H368" s="63"/>
      <c r="I368" s="56">
        <f>SUM(F368:H368)</f>
        <v>3193.8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21067.34</v>
      </c>
      <c r="G369" s="47">
        <f>SUM(G367:G368)</f>
        <v>0</v>
      </c>
      <c r="H369" s="47">
        <f>SUM(H367:H368)</f>
        <v>0</v>
      </c>
      <c r="I369" s="47">
        <f>SUM(I367:I368)</f>
        <v>21067.34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>
        <f>15000+10000+10000</f>
        <v>35000</v>
      </c>
      <c r="H389" s="18">
        <f>1.03+45.25+56.71+130.86</f>
        <v>233.85000000000002</v>
      </c>
      <c r="I389" s="18"/>
      <c r="J389" s="24" t="s">
        <v>289</v>
      </c>
      <c r="K389" s="24" t="s">
        <v>289</v>
      </c>
      <c r="L389" s="56">
        <f t="shared" si="25"/>
        <v>35233.85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>
        <v>15000</v>
      </c>
      <c r="H392" s="18">
        <v>33.78</v>
      </c>
      <c r="I392" s="18"/>
      <c r="J392" s="24" t="s">
        <v>289</v>
      </c>
      <c r="K392" s="24" t="s">
        <v>289</v>
      </c>
      <c r="L392" s="56">
        <f t="shared" si="25"/>
        <v>15033.78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50000</v>
      </c>
      <c r="H393" s="139">
        <f>SUM(H387:H392)</f>
        <v>267.63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50267.63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10000</v>
      </c>
      <c r="H397" s="18">
        <v>331.67</v>
      </c>
      <c r="I397" s="18"/>
      <c r="J397" s="24" t="s">
        <v>289</v>
      </c>
      <c r="K397" s="24" t="s">
        <v>289</v>
      </c>
      <c r="L397" s="56">
        <f t="shared" si="26"/>
        <v>10331.67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>
        <v>5000</v>
      </c>
      <c r="H398" s="18">
        <v>183.45</v>
      </c>
      <c r="I398" s="18"/>
      <c r="J398" s="24" t="s">
        <v>289</v>
      </c>
      <c r="K398" s="24" t="s">
        <v>289</v>
      </c>
      <c r="L398" s="56">
        <f t="shared" si="26"/>
        <v>5183.45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15000</v>
      </c>
      <c r="H401" s="47">
        <f>SUM(H395:H400)</f>
        <v>515.12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15515.119999999999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65000</v>
      </c>
      <c r="H408" s="47">
        <f>H393+H401+H407</f>
        <v>782.75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65782.75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>
        <v>2570</v>
      </c>
      <c r="I415" s="18"/>
      <c r="J415" s="18"/>
      <c r="K415" s="18"/>
      <c r="L415" s="56">
        <f t="shared" si="27"/>
        <v>2570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2570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2570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2570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2570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f>15033.78+103316</f>
        <v>118349.78</v>
      </c>
      <c r="G440" s="18">
        <f>80785.47+145362.85</f>
        <v>226148.32</v>
      </c>
      <c r="H440" s="18"/>
      <c r="I440" s="56">
        <f t="shared" si="33"/>
        <v>344498.1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118349.78</v>
      </c>
      <c r="G446" s="13">
        <f>SUM(G439:G445)</f>
        <v>226148.32</v>
      </c>
      <c r="H446" s="13">
        <f>SUM(H439:H445)</f>
        <v>0</v>
      </c>
      <c r="I446" s="13">
        <f>SUM(I439:I445)</f>
        <v>344498.1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f>70652.15+32663.85+15033.78</f>
        <v>118349.78</v>
      </c>
      <c r="G459" s="18">
        <f>75602.02+5183.45+135031.18+10331.67</f>
        <v>226148.32</v>
      </c>
      <c r="H459" s="18"/>
      <c r="I459" s="56">
        <f t="shared" si="34"/>
        <v>344498.1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118349.78</v>
      </c>
      <c r="G460" s="83">
        <f>SUM(G454:G459)</f>
        <v>226148.32</v>
      </c>
      <c r="H460" s="83">
        <f>SUM(H454:H459)</f>
        <v>0</v>
      </c>
      <c r="I460" s="83">
        <f>SUM(I454:I459)</f>
        <v>344498.1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118349.78</v>
      </c>
      <c r="G461" s="42">
        <f>G452+G460</f>
        <v>226148.32</v>
      </c>
      <c r="H461" s="42">
        <f>H452+H460</f>
        <v>0</v>
      </c>
      <c r="I461" s="42">
        <f>I452+I460</f>
        <v>344498.1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303741.77</v>
      </c>
      <c r="G465" s="18">
        <v>3653.08</v>
      </c>
      <c r="H465" s="18">
        <f>0+655.11</f>
        <v>655.11</v>
      </c>
      <c r="I465" s="18"/>
      <c r="J465" s="18">
        <f>70652.15+75602.02+135031.18</f>
        <v>281285.34999999998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2852522.63</v>
      </c>
      <c r="G468" s="18">
        <v>82089.62</v>
      </c>
      <c r="H468" s="18">
        <f>4075+98245.7</f>
        <v>102320.7</v>
      </c>
      <c r="I468" s="18"/>
      <c r="J468" s="18">
        <f>35233.85+5183.45+10331.67+15033.78</f>
        <v>65782.75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2852522.63</v>
      </c>
      <c r="G470" s="53">
        <f>SUM(G468:G469)</f>
        <v>82089.62</v>
      </c>
      <c r="H470" s="53">
        <f>SUM(H468:H469)</f>
        <v>102320.7</v>
      </c>
      <c r="I470" s="53">
        <f>SUM(I468:I469)</f>
        <v>0</v>
      </c>
      <c r="J470" s="53">
        <f>SUM(J468:J469)</f>
        <v>65782.75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3060457.33+559.33</f>
        <v>3061016.66</v>
      </c>
      <c r="G472" s="18">
        <v>81125.91</v>
      </c>
      <c r="H472" s="18">
        <f>2958.16+98755.1</f>
        <v>101713.26000000001</v>
      </c>
      <c r="I472" s="18"/>
      <c r="J472" s="18">
        <v>2570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 t="s">
        <v>287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3061016.66</v>
      </c>
      <c r="G474" s="53">
        <f>SUM(G472:G473)</f>
        <v>81125.91</v>
      </c>
      <c r="H474" s="53">
        <f>SUM(H472:H473)</f>
        <v>101713.26000000001</v>
      </c>
      <c r="I474" s="53">
        <f>SUM(I472:I473)</f>
        <v>0</v>
      </c>
      <c r="J474" s="53">
        <f>SUM(J472:J473)</f>
        <v>2570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95247.739999999758</v>
      </c>
      <c r="G476" s="53">
        <f>(G465+G470)- G474</f>
        <v>4616.7899999999936</v>
      </c>
      <c r="H476" s="53">
        <f>(H465+H470)- H474</f>
        <v>1262.5499999999884</v>
      </c>
      <c r="I476" s="53">
        <f>(I465+I470)- I474</f>
        <v>0</v>
      </c>
      <c r="J476" s="53">
        <f>(J465+J470)- J474</f>
        <v>344498.1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76800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2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38400</v>
      </c>
      <c r="G495" s="18"/>
      <c r="H495" s="18"/>
      <c r="I495" s="18"/>
      <c r="J495" s="18"/>
      <c r="K495" s="53">
        <f>SUM(F495:J495)</f>
        <v>38400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1506.54</v>
      </c>
      <c r="G496" s="18"/>
      <c r="H496" s="18"/>
      <c r="I496" s="18"/>
      <c r="J496" s="18"/>
      <c r="K496" s="53">
        <f t="shared" ref="K496:K503" si="35">SUM(F496:J496)</f>
        <v>1506.54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39906.54</v>
      </c>
      <c r="G497" s="18"/>
      <c r="H497" s="18"/>
      <c r="I497" s="18"/>
      <c r="J497" s="18"/>
      <c r="K497" s="53">
        <f t="shared" si="35"/>
        <v>39906.54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0</v>
      </c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0</v>
      </c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0</v>
      </c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0</v>
      </c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174808.4-6840+16673.96</f>
        <v>184642.36</v>
      </c>
      <c r="G521" s="18">
        <f>84035.69-815-523.26+1471.06</f>
        <v>84168.49</v>
      </c>
      <c r="H521" s="18">
        <f>5312.5+38761+558.12</f>
        <v>44631.62</v>
      </c>
      <c r="I521" s="18">
        <v>745.21</v>
      </c>
      <c r="J521" s="18">
        <v>364.94</v>
      </c>
      <c r="K521" s="18">
        <v>3242.63</v>
      </c>
      <c r="L521" s="88">
        <f>SUM(F521:K521)</f>
        <v>317795.25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f>247112.22+70578.66</f>
        <v>317690.88</v>
      </c>
      <c r="I523" s="18"/>
      <c r="J523" s="18"/>
      <c r="K523" s="18"/>
      <c r="L523" s="88">
        <f>SUM(F523:K523)</f>
        <v>317690.88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184642.36</v>
      </c>
      <c r="G524" s="108">
        <f t="shared" ref="G524:L524" si="36">SUM(G521:G523)</f>
        <v>84168.49</v>
      </c>
      <c r="H524" s="108">
        <f t="shared" si="36"/>
        <v>362322.5</v>
      </c>
      <c r="I524" s="108">
        <f t="shared" si="36"/>
        <v>745.21</v>
      </c>
      <c r="J524" s="108">
        <f t="shared" si="36"/>
        <v>364.94</v>
      </c>
      <c r="K524" s="108">
        <f t="shared" si="36"/>
        <v>3242.63</v>
      </c>
      <c r="L524" s="89">
        <f t="shared" si="36"/>
        <v>635486.13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72872.25</v>
      </c>
      <c r="I526" s="18"/>
      <c r="J526" s="18"/>
      <c r="K526" s="18"/>
      <c r="L526" s="88">
        <f>SUM(F526:K526)</f>
        <v>72872.25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72872.25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72872.25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6840</v>
      </c>
      <c r="G541" s="18">
        <f>523.26+815</f>
        <v>1338.26</v>
      </c>
      <c r="H541" s="18">
        <f>300+2357.63</f>
        <v>2657.63</v>
      </c>
      <c r="I541" s="18"/>
      <c r="J541" s="18"/>
      <c r="K541" s="18"/>
      <c r="L541" s="88">
        <f>SUM(F541:K541)</f>
        <v>10835.89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6840</v>
      </c>
      <c r="G544" s="193">
        <f t="shared" ref="G544:L544" si="40">SUM(G541:G543)</f>
        <v>1338.26</v>
      </c>
      <c r="H544" s="193">
        <f t="shared" si="40"/>
        <v>2657.63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10835.89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191482.36</v>
      </c>
      <c r="G545" s="89">
        <f t="shared" ref="G545:L545" si="41">G524+G529+G534+G539+G544</f>
        <v>85506.75</v>
      </c>
      <c r="H545" s="89">
        <f t="shared" si="41"/>
        <v>437852.38</v>
      </c>
      <c r="I545" s="89">
        <f t="shared" si="41"/>
        <v>745.21</v>
      </c>
      <c r="J545" s="89">
        <f t="shared" si="41"/>
        <v>364.94</v>
      </c>
      <c r="K545" s="89">
        <f t="shared" si="41"/>
        <v>3242.63</v>
      </c>
      <c r="L545" s="89">
        <f t="shared" si="41"/>
        <v>719194.27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317795.25</v>
      </c>
      <c r="G549" s="87">
        <f>L526</f>
        <v>72872.25</v>
      </c>
      <c r="H549" s="87">
        <f>L531</f>
        <v>0</v>
      </c>
      <c r="I549" s="87">
        <f>L536</f>
        <v>0</v>
      </c>
      <c r="J549" s="87">
        <f>L541</f>
        <v>10835.89</v>
      </c>
      <c r="K549" s="87">
        <f>SUM(F549:J549)</f>
        <v>401503.39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317690.88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317690.88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635486.13</v>
      </c>
      <c r="G552" s="89">
        <f t="shared" si="42"/>
        <v>72872.25</v>
      </c>
      <c r="H552" s="89">
        <f t="shared" si="42"/>
        <v>0</v>
      </c>
      <c r="I552" s="89">
        <f t="shared" si="42"/>
        <v>0</v>
      </c>
      <c r="J552" s="89">
        <f t="shared" si="42"/>
        <v>10835.89</v>
      </c>
      <c r="K552" s="89">
        <f t="shared" si="42"/>
        <v>719194.27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68696</v>
      </c>
      <c r="I575" s="87">
        <f>SUM(F575:H575)</f>
        <v>68696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>
        <f>483049+144288.61-68696</f>
        <v>558641.61</v>
      </c>
      <c r="I576" s="87">
        <f t="shared" ref="I576:I587" si="47">SUM(F576:H576)</f>
        <v>558641.61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38761</v>
      </c>
      <c r="G579" s="18"/>
      <c r="H579" s="18"/>
      <c r="I579" s="87">
        <f t="shared" si="47"/>
        <v>38761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>
        <v>70578.66</v>
      </c>
      <c r="I580" s="87">
        <f t="shared" si="47"/>
        <v>70578.66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>
        <v>247112.22</v>
      </c>
      <c r="I582" s="87">
        <f t="shared" si="47"/>
        <v>247112.22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>
        <v>23671.29</v>
      </c>
      <c r="I585" s="87">
        <f t="shared" si="47"/>
        <v>23671.29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36594.400000000001</v>
      </c>
      <c r="I591" s="18"/>
      <c r="J591" s="18">
        <v>44726</v>
      </c>
      <c r="K591" s="104">
        <f t="shared" ref="K591:K597" si="48">SUM(H591:J591)</f>
        <v>81320.399999999994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10835.89</v>
      </c>
      <c r="I592" s="18"/>
      <c r="J592" s="18"/>
      <c r="K592" s="104">
        <f t="shared" si="48"/>
        <v>10835.89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1804</v>
      </c>
      <c r="I594" s="18"/>
      <c r="J594" s="18"/>
      <c r="K594" s="104">
        <f t="shared" si="48"/>
        <v>1804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f>1312.5+90.5+265.39+174.89+174.89+174.89+174.89+174.89+174.89+405.89+468.88+97+295.25</f>
        <v>3984.7499999999991</v>
      </c>
      <c r="I595" s="18"/>
      <c r="J595" s="18"/>
      <c r="K595" s="104">
        <f t="shared" si="48"/>
        <v>3984.7499999999991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53219.040000000001</v>
      </c>
      <c r="I598" s="108">
        <f>SUM(I591:I597)</f>
        <v>0</v>
      </c>
      <c r="J598" s="108">
        <f>SUM(J591:J597)</f>
        <v>44726</v>
      </c>
      <c r="K598" s="108">
        <f>SUM(K591:K597)</f>
        <v>97945.04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34311.75-6487</f>
        <v>27824.75</v>
      </c>
      <c r="I604" s="18"/>
      <c r="J604" s="18"/>
      <c r="K604" s="104">
        <f>SUM(H604:J604)</f>
        <v>27824.75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27824.75</v>
      </c>
      <c r="I605" s="108">
        <f>SUM(I602:I604)</f>
        <v>0</v>
      </c>
      <c r="J605" s="108">
        <f>SUM(J602:J604)</f>
        <v>0</v>
      </c>
      <c r="K605" s="108">
        <f>SUM(K602:K604)</f>
        <v>27824.75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124389.08000000002</v>
      </c>
      <c r="H617" s="109">
        <f>SUM(F52)</f>
        <v>124389.08000000002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4616.79</v>
      </c>
      <c r="H618" s="109">
        <f>SUM(G52)</f>
        <v>4616.79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1262.5500000000002</v>
      </c>
      <c r="H619" s="109">
        <f>SUM(H52)</f>
        <v>1262.55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344498.1</v>
      </c>
      <c r="H621" s="109">
        <f>SUM(J52)</f>
        <v>344498.1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95247.74000000002</v>
      </c>
      <c r="H622" s="109">
        <f>F476</f>
        <v>95247.739999999758</v>
      </c>
      <c r="I622" s="121" t="s">
        <v>101</v>
      </c>
      <c r="J622" s="109">
        <f t="shared" ref="J622:J655" si="50">G622-H622</f>
        <v>2.6193447411060333E-10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4616.79</v>
      </c>
      <c r="H623" s="109">
        <f>G476</f>
        <v>4616.7899999999936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1262.55</v>
      </c>
      <c r="H624" s="109">
        <f>H476</f>
        <v>1262.5499999999884</v>
      </c>
      <c r="I624" s="121" t="s">
        <v>103</v>
      </c>
      <c r="J624" s="109">
        <f t="shared" si="50"/>
        <v>1.1596057447604835E-11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344498.1</v>
      </c>
      <c r="H626" s="109">
        <f>J476</f>
        <v>344498.1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2852522.63</v>
      </c>
      <c r="H627" s="104">
        <f>SUM(F468)</f>
        <v>2852522.63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82089.62</v>
      </c>
      <c r="H628" s="104">
        <f>SUM(G468)</f>
        <v>82089.62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102320.7</v>
      </c>
      <c r="H629" s="104">
        <f>SUM(H468)</f>
        <v>102320.7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65782.75</v>
      </c>
      <c r="H631" s="104">
        <f>SUM(J468)</f>
        <v>65782.75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3061016.66</v>
      </c>
      <c r="H632" s="104">
        <f>SUM(F472)</f>
        <v>3061016.66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101713.26000000001</v>
      </c>
      <c r="H633" s="104">
        <f>SUM(H472)</f>
        <v>101713.26000000001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21067.34</v>
      </c>
      <c r="H634" s="104">
        <f>I369</f>
        <v>21067.34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81125.91</v>
      </c>
      <c r="H635" s="104">
        <f>SUM(G472)</f>
        <v>81125.91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65782.75</v>
      </c>
      <c r="H637" s="164">
        <f>SUM(J468)</f>
        <v>65782.75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2570</v>
      </c>
      <c r="H638" s="164">
        <f>SUM(J472)</f>
        <v>2570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118349.78</v>
      </c>
      <c r="H639" s="104">
        <f>SUM(F461)</f>
        <v>118349.78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226148.32</v>
      </c>
      <c r="H640" s="104">
        <f>SUM(G461)</f>
        <v>226148.32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344498.1</v>
      </c>
      <c r="H642" s="104">
        <f>SUM(I461)</f>
        <v>344498.1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782.75</v>
      </c>
      <c r="H644" s="104">
        <f>H408</f>
        <v>782.75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65000</v>
      </c>
      <c r="H645" s="104">
        <f>G408</f>
        <v>65000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65782.75</v>
      </c>
      <c r="H646" s="104">
        <f>L408</f>
        <v>65782.75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97945.04</v>
      </c>
      <c r="H647" s="104">
        <f>L208+L226+L244</f>
        <v>97945.040000000008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27824.75</v>
      </c>
      <c r="H648" s="104">
        <f>(J257+J338)-(J255+J336)</f>
        <v>27824.75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53219.040000000001</v>
      </c>
      <c r="H649" s="104">
        <f>H598</f>
        <v>53219.040000000001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44726</v>
      </c>
      <c r="H651" s="104">
        <f>J598</f>
        <v>44726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45058</v>
      </c>
      <c r="H652" s="104">
        <f>K263+K345</f>
        <v>45058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65000</v>
      </c>
      <c r="H655" s="104">
        <f>K266+K347</f>
        <v>65000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1993034.5100000002</v>
      </c>
      <c r="G660" s="19">
        <f>(L229+L309+L359)</f>
        <v>0</v>
      </c>
      <c r="H660" s="19">
        <f>(L247+L328+L360)</f>
        <v>1013425.78</v>
      </c>
      <c r="I660" s="19">
        <f>SUM(F660:H660)</f>
        <v>3006460.29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14626.53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14626.53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53219.040000000001</v>
      </c>
      <c r="G662" s="19">
        <f>(L226+L306)-(J226+J306)</f>
        <v>0</v>
      </c>
      <c r="H662" s="19">
        <f>(L244+L325)-(J244+J325)</f>
        <v>44726</v>
      </c>
      <c r="I662" s="19">
        <f>SUM(F662:H662)</f>
        <v>97945.040000000008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66585.75</v>
      </c>
      <c r="G663" s="199">
        <f>SUM(G575:G587)+SUM(I602:I604)+L612</f>
        <v>0</v>
      </c>
      <c r="H663" s="199">
        <f>SUM(H575:H587)+SUM(J602:J604)+L613</f>
        <v>968699.78</v>
      </c>
      <c r="I663" s="19">
        <f>SUM(F663:H663)</f>
        <v>1035285.53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1858603.1900000002</v>
      </c>
      <c r="G664" s="19">
        <f>G660-SUM(G661:G663)</f>
        <v>0</v>
      </c>
      <c r="H664" s="19">
        <f>H660-SUM(H661:H663)</f>
        <v>0</v>
      </c>
      <c r="I664" s="19">
        <f>I660-SUM(I661:I663)</f>
        <v>1858603.19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76.34</v>
      </c>
      <c r="G665" s="248"/>
      <c r="H665" s="248"/>
      <c r="I665" s="19">
        <f>SUM(F665:H665)</f>
        <v>76.34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24346.39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24346.39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24346.39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24346.39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F472" sqref="F47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Monroe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464194.19</v>
      </c>
      <c r="C9" s="229">
        <f>'DOE25'!G197+'DOE25'!G215+'DOE25'!G233+'DOE25'!G276+'DOE25'!G295+'DOE25'!G314</f>
        <v>252792.01</v>
      </c>
    </row>
    <row r="10" spans="1:3" x14ac:dyDescent="0.2">
      <c r="A10" t="s">
        <v>779</v>
      </c>
      <c r="B10" s="240">
        <f>404185.2+21860.54+5194.84+7199.96+7935.12+1751.1</f>
        <v>448126.76</v>
      </c>
      <c r="C10" s="240">
        <f>250560.49+1002.36</f>
        <v>251562.84999999998</v>
      </c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>
        <f>14072.03+170+1825.4</f>
        <v>16067.43</v>
      </c>
      <c r="C12" s="240">
        <v>1229.1600000000001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464194.19</v>
      </c>
      <c r="C13" s="231">
        <f>SUM(C10:C12)</f>
        <v>252792.00999999998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184642.36</v>
      </c>
      <c r="C18" s="229">
        <f>'DOE25'!G198+'DOE25'!G216+'DOE25'!G234+'DOE25'!G277+'DOE25'!G296+'DOE25'!G315</f>
        <v>84168.489999999991</v>
      </c>
    </row>
    <row r="19" spans="1:3" x14ac:dyDescent="0.2">
      <c r="A19" t="s">
        <v>779</v>
      </c>
      <c r="B19" s="240">
        <f>85800.96+893.53+837.68</f>
        <v>87532.17</v>
      </c>
      <c r="C19" s="240">
        <f>64.08+131.26+1250+250+13029.13+5545.08+173.57+6280.31+382.9</f>
        <v>27106.33</v>
      </c>
    </row>
    <row r="20" spans="1:3" x14ac:dyDescent="0.2">
      <c r="A20" t="s">
        <v>780</v>
      </c>
      <c r="B20" s="240">
        <f>15836.28+77060.9+1709.33</f>
        <v>94606.51</v>
      </c>
      <c r="C20" s="240">
        <f>64.16+1211.56+7419.72+47286.14-5545.08+606.29-173.57+5586.6+797.71-382.9</f>
        <v>56870.63</v>
      </c>
    </row>
    <row r="21" spans="1:3" x14ac:dyDescent="0.2">
      <c r="A21" t="s">
        <v>781</v>
      </c>
      <c r="B21" s="240">
        <f>6840+2503.68</f>
        <v>9343.68</v>
      </c>
      <c r="C21" s="240">
        <f>714.79+815</f>
        <v>1529.79</v>
      </c>
    </row>
    <row r="22" spans="1:3" x14ac:dyDescent="0.2">
      <c r="A22" t="str">
        <f>IF(B18=B22,IF(C18=C22,"Check Total OK","Check Total Error"),"Check Total Error")</f>
        <v>Check Total Error</v>
      </c>
      <c r="B22" s="231">
        <f>SUM(B19:B21)</f>
        <v>191482.36</v>
      </c>
      <c r="C22" s="231">
        <f>SUM(C19:C21)</f>
        <v>85506.749999999985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3915</v>
      </c>
      <c r="C36" s="235">
        <f>'DOE25'!G200+'DOE25'!G218+'DOE25'!G236+'DOE25'!G279+'DOE25'!G298+'DOE25'!G317</f>
        <v>329.93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3915</v>
      </c>
      <c r="C39" s="240">
        <v>329.93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3915</v>
      </c>
      <c r="C40" s="231">
        <f>SUM(C37:C39)</f>
        <v>329.93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72" sqref="F472"/>
      <selection pane="bottomLeft" activeCell="F472" sqref="F47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Monroe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2033644.1700000002</v>
      </c>
      <c r="D5" s="20">
        <f>SUM('DOE25'!L197:L200)+SUM('DOE25'!L215:L218)+SUM('DOE25'!L233:L236)-F5-G5</f>
        <v>2012128.8900000004</v>
      </c>
      <c r="E5" s="243"/>
      <c r="F5" s="255">
        <f>SUM('DOE25'!J197:J200)+SUM('DOE25'!J215:J218)+SUM('DOE25'!J233:J236)</f>
        <v>16976.150000000001</v>
      </c>
      <c r="G5" s="53">
        <f>SUM('DOE25'!K197:K200)+SUM('DOE25'!K215:K218)+SUM('DOE25'!K233:K236)</f>
        <v>4539.13</v>
      </c>
      <c r="H5" s="259"/>
    </row>
    <row r="6" spans="1:9" x14ac:dyDescent="0.2">
      <c r="A6" s="32">
        <v>2100</v>
      </c>
      <c r="B6" t="s">
        <v>801</v>
      </c>
      <c r="C6" s="245">
        <f t="shared" si="0"/>
        <v>116039.98</v>
      </c>
      <c r="D6" s="20">
        <f>'DOE25'!L202+'DOE25'!L220+'DOE25'!L238-F6-G6</f>
        <v>113679.84999999999</v>
      </c>
      <c r="E6" s="243"/>
      <c r="F6" s="255">
        <f>'DOE25'!J202+'DOE25'!J220+'DOE25'!J238</f>
        <v>0</v>
      </c>
      <c r="G6" s="53">
        <f>'DOE25'!K202+'DOE25'!K220+'DOE25'!K238</f>
        <v>2360.13</v>
      </c>
      <c r="H6" s="259"/>
    </row>
    <row r="7" spans="1:9" x14ac:dyDescent="0.2">
      <c r="A7" s="32">
        <v>2200</v>
      </c>
      <c r="B7" t="s">
        <v>834</v>
      </c>
      <c r="C7" s="245">
        <f t="shared" si="0"/>
        <v>61216.700000000004</v>
      </c>
      <c r="D7" s="20">
        <f>'DOE25'!L203+'DOE25'!L221+'DOE25'!L239-F7-G7</f>
        <v>61216.700000000004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3673.85</v>
      </c>
      <c r="D8" s="243"/>
      <c r="E8" s="20">
        <f>'DOE25'!L204+'DOE25'!L222+'DOE25'!L240-F8-G8-D9-D11</f>
        <v>0</v>
      </c>
      <c r="F8" s="255">
        <f>'DOE25'!J204+'DOE25'!J222+'DOE25'!J240</f>
        <v>0</v>
      </c>
      <c r="G8" s="53">
        <f>'DOE25'!K204+'DOE25'!K222+'DOE25'!K240</f>
        <v>3673.85</v>
      </c>
      <c r="H8" s="259"/>
    </row>
    <row r="9" spans="1:9" x14ac:dyDescent="0.2">
      <c r="A9" s="32">
        <v>2310</v>
      </c>
      <c r="B9" t="s">
        <v>818</v>
      </c>
      <c r="C9" s="245">
        <f t="shared" si="0"/>
        <v>36485.35</v>
      </c>
      <c r="D9" s="244">
        <v>36485.35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7450</v>
      </c>
      <c r="D10" s="243"/>
      <c r="E10" s="244">
        <v>7450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99782.42</v>
      </c>
      <c r="D11" s="244">
        <f>170098.47-934-50000.08-8661.78-137.4-3659.46-5585.05-405-478.2-346.28-108.8</f>
        <v>99782.42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198888.57</v>
      </c>
      <c r="D12" s="20">
        <f>'DOE25'!L205+'DOE25'!L223+'DOE25'!L241-F12-G12</f>
        <v>195612.34</v>
      </c>
      <c r="E12" s="243"/>
      <c r="F12" s="255">
        <f>'DOE25'!J205+'DOE25'!J223+'DOE25'!J241</f>
        <v>64.98</v>
      </c>
      <c r="G12" s="53">
        <f>'DOE25'!K205+'DOE25'!K223+'DOE25'!K241</f>
        <v>3211.25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69382.05</v>
      </c>
      <c r="D13" s="243"/>
      <c r="E13" s="20">
        <f>'DOE25'!L206+'DOE25'!L224+'DOE25'!L242-F13-G13</f>
        <v>69382.05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150278.49</v>
      </c>
      <c r="D14" s="20">
        <f>'DOE25'!L207+'DOE25'!L225+'DOE25'!L243-F14-G14</f>
        <v>148991.74</v>
      </c>
      <c r="E14" s="243"/>
      <c r="F14" s="255">
        <f>'DOE25'!J207+'DOE25'!J225+'DOE25'!J243</f>
        <v>0</v>
      </c>
      <c r="G14" s="53">
        <f>'DOE25'!K207+'DOE25'!K225+'DOE25'!K243</f>
        <v>1286.75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97945.040000000008</v>
      </c>
      <c r="D15" s="20">
        <f>'DOE25'!L208+'DOE25'!L226+'DOE25'!L244-F15-G15</f>
        <v>97945.040000000008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87431</v>
      </c>
      <c r="D22" s="243"/>
      <c r="E22" s="243"/>
      <c r="F22" s="255">
        <f>'DOE25'!L255+'DOE25'!L336</f>
        <v>87431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39906.54</v>
      </c>
      <c r="D25" s="243"/>
      <c r="E25" s="243"/>
      <c r="F25" s="258"/>
      <c r="G25" s="256"/>
      <c r="H25" s="257">
        <f>'DOE25'!L260+'DOE25'!L261+'DOE25'!L341+'DOE25'!L342</f>
        <v>39906.54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63252.37</v>
      </c>
      <c r="D29" s="20">
        <f>'DOE25'!L358+'DOE25'!L359+'DOE25'!L360-'DOE25'!I367-F29-G29</f>
        <v>56765.37</v>
      </c>
      <c r="E29" s="243"/>
      <c r="F29" s="255">
        <f>'DOE25'!J358+'DOE25'!J359+'DOE25'!J360</f>
        <v>6487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57997.760000000002</v>
      </c>
      <c r="D31" s="20">
        <f>'DOE25'!L290+'DOE25'!L309+'DOE25'!L328+'DOE25'!L333+'DOE25'!L334+'DOE25'!L335-F31-G31</f>
        <v>47214.14</v>
      </c>
      <c r="E31" s="243"/>
      <c r="F31" s="255">
        <f>'DOE25'!J290+'DOE25'!J309+'DOE25'!J328+'DOE25'!J333+'DOE25'!J334+'DOE25'!J335</f>
        <v>10783.62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2869821.8400000003</v>
      </c>
      <c r="E33" s="246">
        <f>SUM(E5:E31)</f>
        <v>76832.05</v>
      </c>
      <c r="F33" s="246">
        <f>SUM(F5:F31)</f>
        <v>121742.75</v>
      </c>
      <c r="G33" s="246">
        <f>SUM(G5:G31)</f>
        <v>15071.11</v>
      </c>
      <c r="H33" s="246">
        <f>SUM(H5:H31)</f>
        <v>39906.54</v>
      </c>
    </row>
    <row r="35" spans="2:8" ht="12" thickBot="1" x14ac:dyDescent="0.25">
      <c r="B35" s="253" t="s">
        <v>847</v>
      </c>
      <c r="D35" s="254">
        <f>E33</f>
        <v>76832.05</v>
      </c>
      <c r="E35" s="249"/>
    </row>
    <row r="36" spans="2:8" ht="12" thickTop="1" x14ac:dyDescent="0.2">
      <c r="B36" t="s">
        <v>815</v>
      </c>
      <c r="D36" s="20">
        <f>D33</f>
        <v>2869821.8400000003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141" activePane="bottomLeft" state="frozen"/>
      <selection activeCell="F472" sqref="F472"/>
      <selection pane="bottomLeft" activeCell="F472" sqref="F472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Monroe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121639.69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344498.1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1086.52</v>
      </c>
      <c r="D11" s="95">
        <f>'DOE25'!G12</f>
        <v>3685.84</v>
      </c>
      <c r="E11" s="95">
        <f>'DOE25'!H12</f>
        <v>-4772.37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54.3</v>
      </c>
      <c r="D13" s="95">
        <f>'DOE25'!G14</f>
        <v>930.95</v>
      </c>
      <c r="E13" s="95">
        <f>'DOE25'!H14</f>
        <v>6034.92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1608.57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124389.08000000002</v>
      </c>
      <c r="D18" s="41">
        <f>SUM(D8:D17)</f>
        <v>4616.79</v>
      </c>
      <c r="E18" s="41">
        <f>SUM(E8:E17)</f>
        <v>1262.5500000000002</v>
      </c>
      <c r="F18" s="41">
        <f>SUM(F8:F17)</f>
        <v>0</v>
      </c>
      <c r="G18" s="41">
        <f>SUM(G8:G17)</f>
        <v>344498.1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29244.27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-102.93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29141.34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1608.57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4616.79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1262.55</v>
      </c>
      <c r="F47" s="95">
        <f>'DOE25'!I48</f>
        <v>0</v>
      </c>
      <c r="G47" s="95">
        <f>'DOE25'!J48</f>
        <v>344498.1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93639.170000000013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95247.74000000002</v>
      </c>
      <c r="D50" s="41">
        <f>SUM(D34:D49)</f>
        <v>4616.79</v>
      </c>
      <c r="E50" s="41">
        <f>SUM(E34:E49)</f>
        <v>1262.55</v>
      </c>
      <c r="F50" s="41">
        <f>SUM(F34:F49)</f>
        <v>0</v>
      </c>
      <c r="G50" s="41">
        <f>SUM(G34:G49)</f>
        <v>344498.1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124389.08000000002</v>
      </c>
      <c r="D51" s="41">
        <f>D50+D31</f>
        <v>4616.79</v>
      </c>
      <c r="E51" s="41">
        <f>E50+E31</f>
        <v>1262.55</v>
      </c>
      <c r="F51" s="41">
        <f>F50+F31</f>
        <v>0</v>
      </c>
      <c r="G51" s="41">
        <f>G50+G31</f>
        <v>344498.1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2244076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1089.8699999999999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782.75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14626.53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20049.21</v>
      </c>
      <c r="D61" s="95">
        <f>SUM('DOE25'!G98:G110)</f>
        <v>0</v>
      </c>
      <c r="E61" s="95">
        <f>SUM('DOE25'!H98:H110)</f>
        <v>4075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21139.079999999998</v>
      </c>
      <c r="D62" s="130">
        <f>SUM(D57:D61)</f>
        <v>14626.53</v>
      </c>
      <c r="E62" s="130">
        <f>SUM(E57:E61)</f>
        <v>4075</v>
      </c>
      <c r="F62" s="130">
        <f>SUM(F57:F61)</f>
        <v>0</v>
      </c>
      <c r="G62" s="130">
        <f>SUM(G57:G61)</f>
        <v>782.75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2265215.08</v>
      </c>
      <c r="D63" s="22">
        <f>D56+D62</f>
        <v>14626.53</v>
      </c>
      <c r="E63" s="22">
        <f>E56+E62</f>
        <v>4075</v>
      </c>
      <c r="F63" s="22">
        <f>F56+F62</f>
        <v>0</v>
      </c>
      <c r="G63" s="22">
        <f>G56+G62</f>
        <v>782.75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339213.94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180433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519646.94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41660.75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525.41999999999996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41660.75</v>
      </c>
      <c r="D78" s="130">
        <f>SUM(D72:D77)</f>
        <v>525.41999999999996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561307.68999999994</v>
      </c>
      <c r="D81" s="130">
        <f>SUM(D79:D80)+D78+D70</f>
        <v>525.41999999999996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25816.15</v>
      </c>
      <c r="D88" s="95">
        <f>SUM('DOE25'!G153:G161)</f>
        <v>21879.67</v>
      </c>
      <c r="E88" s="95">
        <f>SUM('DOE25'!H153:H161)</f>
        <v>98245.7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183.71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25999.86</v>
      </c>
      <c r="D91" s="131">
        <f>SUM(D85:D90)</f>
        <v>21879.67</v>
      </c>
      <c r="E91" s="131">
        <f>SUM(E85:E90)</f>
        <v>98245.7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45058</v>
      </c>
      <c r="E96" s="95">
        <f>'DOE25'!H179</f>
        <v>0</v>
      </c>
      <c r="F96" s="95">
        <f>'DOE25'!I179</f>
        <v>0</v>
      </c>
      <c r="G96" s="95">
        <f>'DOE25'!J179</f>
        <v>65000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45058</v>
      </c>
      <c r="E103" s="86">
        <f>SUM(E93:E102)</f>
        <v>0</v>
      </c>
      <c r="F103" s="86">
        <f>SUM(F93:F102)</f>
        <v>0</v>
      </c>
      <c r="G103" s="86">
        <f>SUM(G93:G102)</f>
        <v>65000</v>
      </c>
    </row>
    <row r="104" spans="1:7" ht="12.75" thickTop="1" thickBot="1" x14ac:dyDescent="0.25">
      <c r="A104" s="33" t="s">
        <v>765</v>
      </c>
      <c r="C104" s="86">
        <f>C63+C81+C91+C103</f>
        <v>2852522.63</v>
      </c>
      <c r="D104" s="86">
        <f>D63+D81+D91+D103</f>
        <v>82089.62</v>
      </c>
      <c r="E104" s="86">
        <f>E63+E81+E91+E103</f>
        <v>102320.7</v>
      </c>
      <c r="F104" s="86">
        <f>F63+F81+F91+F103</f>
        <v>0</v>
      </c>
      <c r="G104" s="86">
        <f>G63+G81+G103</f>
        <v>65782.75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1383744.3</v>
      </c>
      <c r="D109" s="24" t="s">
        <v>289</v>
      </c>
      <c r="E109" s="95">
        <f>('DOE25'!L276)+('DOE25'!L295)+('DOE25'!L314)</f>
        <v>28363.640000000003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617341.1100000001</v>
      </c>
      <c r="D110" s="24" t="s">
        <v>289</v>
      </c>
      <c r="E110" s="95">
        <f>('DOE25'!L277)+('DOE25'!L296)+('DOE25'!L315)</f>
        <v>18145.02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23671.29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8887.4700000000012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2033644.1700000002</v>
      </c>
      <c r="D115" s="86">
        <f>SUM(D109:D114)</f>
        <v>0</v>
      </c>
      <c r="E115" s="86">
        <f>SUM(E109:E114)</f>
        <v>46508.66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116039.98</v>
      </c>
      <c r="D118" s="24" t="s">
        <v>289</v>
      </c>
      <c r="E118" s="95">
        <f>+('DOE25'!L281)+('DOE25'!L300)+('DOE25'!L319)</f>
        <v>5500.7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61216.700000000004</v>
      </c>
      <c r="D119" s="24" t="s">
        <v>289</v>
      </c>
      <c r="E119" s="95">
        <f>+('DOE25'!L282)+('DOE25'!L301)+('DOE25'!L320)</f>
        <v>5988.4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139941.62000000002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198888.57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69382.05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150278.49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97945.040000000008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81125.91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833692.45000000007</v>
      </c>
      <c r="D128" s="86">
        <f>SUM(D118:D127)</f>
        <v>81125.91</v>
      </c>
      <c r="E128" s="86">
        <f>SUM(E118:E127)</f>
        <v>11489.099999999999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43715.5</v>
      </c>
      <c r="D130" s="24" t="s">
        <v>289</v>
      </c>
      <c r="E130" s="129">
        <f>'DOE25'!L336</f>
        <v>43715.5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38400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1506.54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45058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50267.63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15515.119999999999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-782.75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193680.03999999998</v>
      </c>
      <c r="D144" s="141">
        <f>SUM(D130:D143)</f>
        <v>0</v>
      </c>
      <c r="E144" s="141">
        <f>SUM(E130:E143)</f>
        <v>43715.5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3061016.66</v>
      </c>
      <c r="D145" s="86">
        <f>(D115+D128+D144)</f>
        <v>81125.91</v>
      </c>
      <c r="E145" s="86">
        <f>(E115+E128+E144)</f>
        <v>101713.26000000001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07/14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07/16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76800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2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38400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38400</v>
      </c>
    </row>
    <row r="157" spans="1:9" x14ac:dyDescent="0.2">
      <c r="A157" s="22" t="s">
        <v>33</v>
      </c>
      <c r="B157" s="137">
        <f>'DOE25'!F496</f>
        <v>1506.54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1506.54</v>
      </c>
    </row>
    <row r="158" spans="1:9" x14ac:dyDescent="0.2">
      <c r="A158" s="22" t="s">
        <v>34</v>
      </c>
      <c r="B158" s="137">
        <f>'DOE25'!F497</f>
        <v>39906.54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39906.54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F472" sqref="F47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Monroe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24346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24346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1412108</v>
      </c>
      <c r="D10" s="182">
        <f>ROUND((C10/$C$28)*100,1)</f>
        <v>47.2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635486</v>
      </c>
      <c r="D11" s="182">
        <f>ROUND((C11/$C$28)*100,1)</f>
        <v>21.2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23671</v>
      </c>
      <c r="D12" s="182">
        <f>ROUND((C12/$C$28)*100,1)</f>
        <v>0.8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8887</v>
      </c>
      <c r="D13" s="182">
        <f>ROUND((C13/$C$28)*100,1)</f>
        <v>0.3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121541</v>
      </c>
      <c r="D15" s="182">
        <f t="shared" ref="D15:D27" si="0">ROUND((C15/$C$28)*100,1)</f>
        <v>4.0999999999999996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67205</v>
      </c>
      <c r="D16" s="182">
        <f t="shared" si="0"/>
        <v>2.2000000000000002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139942</v>
      </c>
      <c r="D17" s="182">
        <f t="shared" si="0"/>
        <v>4.7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198889</v>
      </c>
      <c r="D18" s="182">
        <f t="shared" si="0"/>
        <v>6.6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69382</v>
      </c>
      <c r="D19" s="182">
        <f t="shared" si="0"/>
        <v>2.2999999999999998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150278</v>
      </c>
      <c r="D20" s="182">
        <f t="shared" si="0"/>
        <v>5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97945</v>
      </c>
      <c r="D21" s="182">
        <f t="shared" si="0"/>
        <v>3.3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1507</v>
      </c>
      <c r="D25" s="182">
        <f t="shared" si="0"/>
        <v>0.1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66499.47</v>
      </c>
      <c r="D27" s="182">
        <f t="shared" si="0"/>
        <v>2.2000000000000002</v>
      </c>
    </row>
    <row r="28" spans="1:4" x14ac:dyDescent="0.2">
      <c r="B28" s="187" t="s">
        <v>723</v>
      </c>
      <c r="C28" s="180">
        <f>SUM(C10:C27)</f>
        <v>2993340.47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87431</v>
      </c>
    </row>
    <row r="30" spans="1:4" x14ac:dyDescent="0.2">
      <c r="B30" s="187" t="s">
        <v>729</v>
      </c>
      <c r="C30" s="180">
        <f>SUM(C28:C29)</f>
        <v>3080771.47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38400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2244076</v>
      </c>
      <c r="D35" s="182">
        <f t="shared" ref="D35:D40" si="1">ROUND((C35/$C$41)*100,1)</f>
        <v>75.400000000000006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25996.830000000075</v>
      </c>
      <c r="D36" s="182">
        <f t="shared" si="1"/>
        <v>0.9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519647</v>
      </c>
      <c r="D37" s="182">
        <f t="shared" si="1"/>
        <v>17.399999999999999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42186</v>
      </c>
      <c r="D38" s="182">
        <f t="shared" si="1"/>
        <v>1.4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146125</v>
      </c>
      <c r="D39" s="182">
        <f t="shared" si="1"/>
        <v>4.9000000000000004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2978030.83</v>
      </c>
      <c r="D41" s="184">
        <f>SUM(D35:D40)</f>
        <v>100.00000000000003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72" sqref="F472"/>
      <selection pane="bottomLeft" activeCell="F472" sqref="F472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Monroe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2016-08-31T17:16:49Z</cp:lastPrinted>
  <dcterms:created xsi:type="dcterms:W3CDTF">1997-12-04T19:04:30Z</dcterms:created>
  <dcterms:modified xsi:type="dcterms:W3CDTF">2016-08-31T17:20:32Z</dcterms:modified>
</cp:coreProperties>
</file>