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F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50" i="1" l="1"/>
  <c r="F23" i="1" l="1"/>
  <c r="F24" i="1"/>
  <c r="G48" i="1" l="1"/>
  <c r="J472" i="1" l="1"/>
  <c r="I472" i="1"/>
  <c r="I468" i="1" l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E8" i="13" s="1"/>
  <c r="C8" i="13" s="1"/>
  <c r="L222" i="1"/>
  <c r="L240" i="1"/>
  <c r="D39" i="13"/>
  <c r="F13" i="13"/>
  <c r="G13" i="13"/>
  <c r="L206" i="1"/>
  <c r="L224" i="1"/>
  <c r="L242" i="1"/>
  <c r="F16" i="13"/>
  <c r="G16" i="13"/>
  <c r="L209" i="1"/>
  <c r="C125" i="2" s="1"/>
  <c r="L227" i="1"/>
  <c r="L245" i="1"/>
  <c r="F5" i="13"/>
  <c r="G5" i="13"/>
  <c r="L197" i="1"/>
  <c r="L198" i="1"/>
  <c r="C110" i="2" s="1"/>
  <c r="L199" i="1"/>
  <c r="L200" i="1"/>
  <c r="C112" i="2" s="1"/>
  <c r="L215" i="1"/>
  <c r="L216" i="1"/>
  <c r="L217" i="1"/>
  <c r="L218" i="1"/>
  <c r="L233" i="1"/>
  <c r="L234" i="1"/>
  <c r="L235" i="1"/>
  <c r="L236" i="1"/>
  <c r="L247" i="1" s="1"/>
  <c r="F6" i="13"/>
  <c r="G6" i="13"/>
  <c r="L202" i="1"/>
  <c r="L220" i="1"/>
  <c r="L229" i="1" s="1"/>
  <c r="L238" i="1"/>
  <c r="F7" i="13"/>
  <c r="G7" i="13"/>
  <c r="L203" i="1"/>
  <c r="L221" i="1"/>
  <c r="L239" i="1"/>
  <c r="F12" i="13"/>
  <c r="G12" i="13"/>
  <c r="L205" i="1"/>
  <c r="C121" i="2" s="1"/>
  <c r="L223" i="1"/>
  <c r="L241" i="1"/>
  <c r="F14" i="13"/>
  <c r="G14" i="13"/>
  <c r="L207" i="1"/>
  <c r="C123" i="2" s="1"/>
  <c r="L225" i="1"/>
  <c r="L243" i="1"/>
  <c r="F15" i="13"/>
  <c r="G15" i="13"/>
  <c r="L208" i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D127" i="2" s="1"/>
  <c r="D128" i="2" s="1"/>
  <c r="L359" i="1"/>
  <c r="L360" i="1"/>
  <c r="I367" i="1"/>
  <c r="J290" i="1"/>
  <c r="J309" i="1"/>
  <c r="J328" i="1"/>
  <c r="K290" i="1"/>
  <c r="K309" i="1"/>
  <c r="K328" i="1"/>
  <c r="L276" i="1"/>
  <c r="E109" i="2" s="1"/>
  <c r="L277" i="1"/>
  <c r="L278" i="1"/>
  <c r="E111" i="2" s="1"/>
  <c r="L279" i="1"/>
  <c r="L281" i="1"/>
  <c r="E118" i="2" s="1"/>
  <c r="L282" i="1"/>
  <c r="E119" i="2" s="1"/>
  <c r="L283" i="1"/>
  <c r="E120" i="2" s="1"/>
  <c r="L284" i="1"/>
  <c r="E121" i="2" s="1"/>
  <c r="L285" i="1"/>
  <c r="E122" i="2" s="1"/>
  <c r="L286" i="1"/>
  <c r="E123" i="2" s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C131" i="2" s="1"/>
  <c r="L261" i="1"/>
  <c r="C25" i="10" s="1"/>
  <c r="L341" i="1"/>
  <c r="L342" i="1"/>
  <c r="L255" i="1"/>
  <c r="C130" i="2" s="1"/>
  <c r="L336" i="1"/>
  <c r="C11" i="13"/>
  <c r="C10" i="13"/>
  <c r="C9" i="13"/>
  <c r="L361" i="1"/>
  <c r="B4" i="12"/>
  <c r="B36" i="12"/>
  <c r="C36" i="12"/>
  <c r="B40" i="12"/>
  <c r="B27" i="12"/>
  <c r="C27" i="12"/>
  <c r="B31" i="12"/>
  <c r="C31" i="12"/>
  <c r="B9" i="12"/>
  <c r="B13" i="12"/>
  <c r="C9" i="12"/>
  <c r="B18" i="12"/>
  <c r="B22" i="12"/>
  <c r="C18" i="12"/>
  <c r="B1" i="12"/>
  <c r="L387" i="1"/>
  <c r="L388" i="1"/>
  <c r="L389" i="1"/>
  <c r="L393" i="1" s="1"/>
  <c r="C138" i="2" s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C35" i="10" s="1"/>
  <c r="H60" i="1"/>
  <c r="I60" i="1"/>
  <c r="F79" i="1"/>
  <c r="F94" i="1"/>
  <c r="C58" i="2" s="1"/>
  <c r="F111" i="1"/>
  <c r="F112" i="1" s="1"/>
  <c r="G111" i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40" i="1" s="1"/>
  <c r="J136" i="1"/>
  <c r="F147" i="1"/>
  <c r="F162" i="1"/>
  <c r="F169" i="1" s="1"/>
  <c r="G147" i="1"/>
  <c r="D85" i="2" s="1"/>
  <c r="G162" i="1"/>
  <c r="H147" i="1"/>
  <c r="H162" i="1"/>
  <c r="H169" i="1" s="1"/>
  <c r="I147" i="1"/>
  <c r="I169" i="1" s="1"/>
  <c r="I162" i="1"/>
  <c r="L250" i="1"/>
  <c r="L332" i="1"/>
  <c r="L254" i="1"/>
  <c r="L268" i="1"/>
  <c r="L269" i="1"/>
  <c r="L349" i="1"/>
  <c r="L350" i="1"/>
  <c r="E143" i="2" s="1"/>
  <c r="I665" i="1"/>
  <c r="I670" i="1"/>
  <c r="H662" i="1"/>
  <c r="I669" i="1"/>
  <c r="C42" i="10"/>
  <c r="L374" i="1"/>
  <c r="L375" i="1"/>
  <c r="L376" i="1"/>
  <c r="L377" i="1"/>
  <c r="L378" i="1"/>
  <c r="L379" i="1"/>
  <c r="L380" i="1"/>
  <c r="B2" i="10"/>
  <c r="L344" i="1"/>
  <c r="L345" i="1"/>
  <c r="E135" i="2" s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L270" i="1" s="1"/>
  <c r="J270" i="1"/>
  <c r="I270" i="1"/>
  <c r="H270" i="1"/>
  <c r="G270" i="1"/>
  <c r="F270" i="1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E56" i="2"/>
  <c r="F56" i="2"/>
  <c r="C57" i="2"/>
  <c r="E57" i="2"/>
  <c r="E58" i="2"/>
  <c r="C59" i="2"/>
  <c r="D59" i="2"/>
  <c r="E59" i="2"/>
  <c r="F59" i="2"/>
  <c r="D60" i="2"/>
  <c r="C61" i="2"/>
  <c r="D61" i="2"/>
  <c r="D62" i="2" s="1"/>
  <c r="E61" i="2"/>
  <c r="E62" i="2" s="1"/>
  <c r="E63" i="2" s="1"/>
  <c r="F61" i="2"/>
  <c r="C66" i="2"/>
  <c r="C70" i="2" s="1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 s="1"/>
  <c r="C79" i="2"/>
  <c r="D79" i="2"/>
  <c r="E79" i="2"/>
  <c r="C80" i="2"/>
  <c r="E80" i="2"/>
  <c r="C85" i="2"/>
  <c r="E85" i="2"/>
  <c r="C87" i="2"/>
  <c r="E87" i="2"/>
  <c r="F87" i="2"/>
  <c r="C88" i="2"/>
  <c r="C91" i="2" s="1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0" i="2"/>
  <c r="E112" i="2"/>
  <c r="C113" i="2"/>
  <c r="E113" i="2"/>
  <c r="C114" i="2"/>
  <c r="E114" i="2"/>
  <c r="D115" i="2"/>
  <c r="F115" i="2"/>
  <c r="G115" i="2"/>
  <c r="C119" i="2"/>
  <c r="E124" i="2"/>
  <c r="E125" i="2"/>
  <c r="F128" i="2"/>
  <c r="G128" i="2"/>
  <c r="E130" i="2"/>
  <c r="F130" i="2"/>
  <c r="D134" i="2"/>
  <c r="D144" i="2" s="1"/>
  <c r="E134" i="2"/>
  <c r="F134" i="2"/>
  <c r="K419" i="1"/>
  <c r="K427" i="1"/>
  <c r="K433" i="1"/>
  <c r="L263" i="1"/>
  <c r="C135" i="2" s="1"/>
  <c r="L264" i="1"/>
  <c r="C136" i="2" s="1"/>
  <c r="L265" i="1"/>
  <c r="C137" i="2" s="1"/>
  <c r="E137" i="2"/>
  <c r="C142" i="2"/>
  <c r="E142" i="2"/>
  <c r="C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G157" i="2" s="1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G619" i="1" s="1"/>
  <c r="I19" i="1"/>
  <c r="F32" i="1"/>
  <c r="F52" i="1" s="1"/>
  <c r="H617" i="1" s="1"/>
  <c r="G32" i="1"/>
  <c r="G52" i="1" s="1"/>
  <c r="H618" i="1" s="1"/>
  <c r="H32" i="1"/>
  <c r="I32" i="1"/>
  <c r="H51" i="1"/>
  <c r="G624" i="1" s="1"/>
  <c r="I51" i="1"/>
  <c r="I52" i="1" s="1"/>
  <c r="H620" i="1" s="1"/>
  <c r="F177" i="1"/>
  <c r="F192" i="1" s="1"/>
  <c r="I177" i="1"/>
  <c r="F183" i="1"/>
  <c r="G183" i="1"/>
  <c r="G192" i="1" s="1"/>
  <c r="H183" i="1"/>
  <c r="H192" i="1" s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F338" i="1" s="1"/>
  <c r="F352" i="1" s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G634" i="1" s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I408" i="1" s="1"/>
  <c r="F407" i="1"/>
  <c r="G407" i="1"/>
  <c r="H407" i="1"/>
  <c r="H408" i="1" s="1"/>
  <c r="H644" i="1" s="1"/>
  <c r="I407" i="1"/>
  <c r="F408" i="1"/>
  <c r="G408" i="1"/>
  <c r="L413" i="1"/>
  <c r="L414" i="1"/>
  <c r="L415" i="1"/>
  <c r="L416" i="1"/>
  <c r="L419" i="1" s="1"/>
  <c r="L417" i="1"/>
  <c r="L418" i="1"/>
  <c r="F419" i="1"/>
  <c r="G419" i="1"/>
  <c r="H419" i="1"/>
  <c r="I419" i="1"/>
  <c r="J419" i="1"/>
  <c r="L421" i="1"/>
  <c r="L427" i="1" s="1"/>
  <c r="L422" i="1"/>
  <c r="L423" i="1"/>
  <c r="L424" i="1"/>
  <c r="L425" i="1"/>
  <c r="L426" i="1"/>
  <c r="F427" i="1"/>
  <c r="G427" i="1"/>
  <c r="H427" i="1"/>
  <c r="I427" i="1"/>
  <c r="J427" i="1"/>
  <c r="L429" i="1"/>
  <c r="L433" i="1" s="1"/>
  <c r="L430" i="1"/>
  <c r="L431" i="1"/>
  <c r="L432" i="1"/>
  <c r="F433" i="1"/>
  <c r="G433" i="1"/>
  <c r="H433" i="1"/>
  <c r="I433" i="1"/>
  <c r="J433" i="1"/>
  <c r="F446" i="1"/>
  <c r="G639" i="1" s="1"/>
  <c r="G446" i="1"/>
  <c r="H446" i="1"/>
  <c r="G641" i="1" s="1"/>
  <c r="I446" i="1"/>
  <c r="F452" i="1"/>
  <c r="G452" i="1"/>
  <c r="H452" i="1"/>
  <c r="H461" i="1" s="1"/>
  <c r="H641" i="1" s="1"/>
  <c r="I452" i="1"/>
  <c r="I461" i="1" s="1"/>
  <c r="H642" i="1" s="1"/>
  <c r="F460" i="1"/>
  <c r="F461" i="1" s="1"/>
  <c r="H639" i="1" s="1"/>
  <c r="G460" i="1"/>
  <c r="H460" i="1"/>
  <c r="I460" i="1"/>
  <c r="G461" i="1"/>
  <c r="H640" i="1" s="1"/>
  <c r="I470" i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60" i="1" s="1"/>
  <c r="L558" i="1"/>
  <c r="L559" i="1"/>
  <c r="F560" i="1"/>
  <c r="G560" i="1"/>
  <c r="H560" i="1"/>
  <c r="I560" i="1"/>
  <c r="J560" i="1"/>
  <c r="K560" i="1"/>
  <c r="K571" i="1" s="1"/>
  <c r="L562" i="1"/>
  <c r="L563" i="1"/>
  <c r="L564" i="1"/>
  <c r="F565" i="1"/>
  <c r="G565" i="1"/>
  <c r="H565" i="1"/>
  <c r="I565" i="1"/>
  <c r="J565" i="1"/>
  <c r="K565" i="1"/>
  <c r="L567" i="1"/>
  <c r="L570" i="1" s="1"/>
  <c r="L568" i="1"/>
  <c r="L569" i="1"/>
  <c r="F570" i="1"/>
  <c r="F571" i="1" s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20" i="1"/>
  <c r="G622" i="1"/>
  <c r="G623" i="1"/>
  <c r="G625" i="1"/>
  <c r="H630" i="1"/>
  <c r="H636" i="1"/>
  <c r="H638" i="1"/>
  <c r="G640" i="1"/>
  <c r="G642" i="1"/>
  <c r="G643" i="1"/>
  <c r="J643" i="1" s="1"/>
  <c r="H643" i="1"/>
  <c r="G644" i="1"/>
  <c r="G645" i="1"/>
  <c r="H645" i="1"/>
  <c r="J645" i="1" s="1"/>
  <c r="G650" i="1"/>
  <c r="G651" i="1"/>
  <c r="J651" i="1" s="1"/>
  <c r="G652" i="1"/>
  <c r="H652" i="1"/>
  <c r="G653" i="1"/>
  <c r="H653" i="1"/>
  <c r="G654" i="1"/>
  <c r="H654" i="1"/>
  <c r="H655" i="1"/>
  <c r="J655" i="1" s="1"/>
  <c r="G164" i="2"/>
  <c r="C26" i="10"/>
  <c r="L328" i="1"/>
  <c r="L351" i="1"/>
  <c r="D18" i="13"/>
  <c r="C18" i="13" s="1"/>
  <c r="D17" i="13"/>
  <c r="C17" i="13" s="1"/>
  <c r="F78" i="2"/>
  <c r="F81" i="2" s="1"/>
  <c r="F18" i="2"/>
  <c r="G161" i="2"/>
  <c r="G156" i="2"/>
  <c r="E103" i="2"/>
  <c r="G62" i="2"/>
  <c r="D19" i="13"/>
  <c r="C19" i="13" s="1"/>
  <c r="E78" i="2"/>
  <c r="E81" i="2" s="1"/>
  <c r="H112" i="1"/>
  <c r="J571" i="1"/>
  <c r="G22" i="2"/>
  <c r="H552" i="1"/>
  <c r="H140" i="1"/>
  <c r="L401" i="1"/>
  <c r="C139" i="2" s="1"/>
  <c r="H571" i="1"/>
  <c r="L309" i="1"/>
  <c r="I571" i="1"/>
  <c r="G36" i="2"/>
  <c r="L565" i="1"/>
  <c r="K551" i="1"/>
  <c r="J338" i="1" l="1"/>
  <c r="J352" i="1" s="1"/>
  <c r="F662" i="1"/>
  <c r="C12" i="10"/>
  <c r="D29" i="13"/>
  <c r="C29" i="13" s="1"/>
  <c r="H661" i="1"/>
  <c r="E13" i="13"/>
  <c r="C13" i="13" s="1"/>
  <c r="I545" i="1"/>
  <c r="K550" i="1"/>
  <c r="D14" i="13"/>
  <c r="C14" i="13" s="1"/>
  <c r="C38" i="12"/>
  <c r="C39" i="12"/>
  <c r="C37" i="12"/>
  <c r="C20" i="12"/>
  <c r="C21" i="12"/>
  <c r="C19" i="12"/>
  <c r="C10" i="12"/>
  <c r="C12" i="12"/>
  <c r="C11" i="12"/>
  <c r="D50" i="2"/>
  <c r="G545" i="1"/>
  <c r="K549" i="1"/>
  <c r="K552" i="1" s="1"/>
  <c r="G552" i="1"/>
  <c r="I476" i="1"/>
  <c r="H625" i="1" s="1"/>
  <c r="J625" i="1" s="1"/>
  <c r="J644" i="1"/>
  <c r="J641" i="1"/>
  <c r="J640" i="1"/>
  <c r="I369" i="1"/>
  <c r="H634" i="1" s="1"/>
  <c r="J634" i="1" s="1"/>
  <c r="F22" i="13"/>
  <c r="C22" i="13" s="1"/>
  <c r="C132" i="2"/>
  <c r="D7" i="13"/>
  <c r="C7" i="13" s="1"/>
  <c r="C111" i="2"/>
  <c r="A31" i="12"/>
  <c r="E16" i="13"/>
  <c r="E33" i="13" s="1"/>
  <c r="D35" i="13" s="1"/>
  <c r="C29" i="10"/>
  <c r="F257" i="1"/>
  <c r="F271" i="1" s="1"/>
  <c r="C78" i="2"/>
  <c r="D18" i="2"/>
  <c r="K605" i="1"/>
  <c r="G648" i="1" s="1"/>
  <c r="K598" i="1"/>
  <c r="G647" i="1" s="1"/>
  <c r="K545" i="1"/>
  <c r="J545" i="1"/>
  <c r="L529" i="1"/>
  <c r="J552" i="1"/>
  <c r="L539" i="1"/>
  <c r="I552" i="1"/>
  <c r="H545" i="1"/>
  <c r="F552" i="1"/>
  <c r="G661" i="1"/>
  <c r="L362" i="1"/>
  <c r="G472" i="1" s="1"/>
  <c r="F661" i="1"/>
  <c r="D145" i="2"/>
  <c r="K338" i="1"/>
  <c r="K352" i="1" s="1"/>
  <c r="E115" i="2"/>
  <c r="C17" i="10"/>
  <c r="E128" i="2"/>
  <c r="C16" i="10"/>
  <c r="C13" i="10"/>
  <c r="L290" i="1"/>
  <c r="H25" i="13"/>
  <c r="C32" i="10"/>
  <c r="K257" i="1"/>
  <c r="K271" i="1" s="1"/>
  <c r="C118" i="2"/>
  <c r="J257" i="1"/>
  <c r="J271" i="1" s="1"/>
  <c r="L256" i="1"/>
  <c r="I257" i="1"/>
  <c r="I271" i="1" s="1"/>
  <c r="H257" i="1"/>
  <c r="H271" i="1" s="1"/>
  <c r="G257" i="1"/>
  <c r="G271" i="1" s="1"/>
  <c r="C122" i="2"/>
  <c r="D12" i="13"/>
  <c r="C12" i="13" s="1"/>
  <c r="C10" i="10"/>
  <c r="G649" i="1"/>
  <c r="J649" i="1" s="1"/>
  <c r="H647" i="1"/>
  <c r="C21" i="10"/>
  <c r="C124" i="2"/>
  <c r="C18" i="10"/>
  <c r="C120" i="2"/>
  <c r="D5" i="13"/>
  <c r="C5" i="13" s="1"/>
  <c r="C11" i="10"/>
  <c r="C109" i="2"/>
  <c r="D91" i="2"/>
  <c r="E31" i="2"/>
  <c r="H52" i="1"/>
  <c r="H619" i="1" s="1"/>
  <c r="J619" i="1" s="1"/>
  <c r="D31" i="2"/>
  <c r="J617" i="1"/>
  <c r="C18" i="2"/>
  <c r="J639" i="1"/>
  <c r="K500" i="1"/>
  <c r="F85" i="2"/>
  <c r="L211" i="1"/>
  <c r="C20" i="10"/>
  <c r="C81" i="2"/>
  <c r="H660" i="1"/>
  <c r="K503" i="1"/>
  <c r="L382" i="1"/>
  <c r="G636" i="1" s="1"/>
  <c r="J636" i="1" s="1"/>
  <c r="C19" i="10"/>
  <c r="C15" i="10"/>
  <c r="G112" i="1"/>
  <c r="C36" i="10" s="1"/>
  <c r="G81" i="2"/>
  <c r="C62" i="2"/>
  <c r="C63" i="2" s="1"/>
  <c r="D56" i="2"/>
  <c r="D63" i="2" s="1"/>
  <c r="G662" i="1"/>
  <c r="I662" i="1" s="1"/>
  <c r="D6" i="13"/>
  <c r="C6" i="13" s="1"/>
  <c r="D15" i="13"/>
  <c r="C15" i="13" s="1"/>
  <c r="L544" i="1"/>
  <c r="L524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C50" i="2"/>
  <c r="F31" i="2"/>
  <c r="C31" i="2"/>
  <c r="E18" i="2"/>
  <c r="E144" i="2"/>
  <c r="F50" i="2"/>
  <c r="F51" i="2" s="1"/>
  <c r="C24" i="10"/>
  <c r="G660" i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F104" i="2"/>
  <c r="H193" i="1"/>
  <c r="G169" i="1"/>
  <c r="C39" i="10" s="1"/>
  <c r="G140" i="1"/>
  <c r="F140" i="1"/>
  <c r="F193" i="1" s="1"/>
  <c r="G63" i="2"/>
  <c r="G104" i="2" s="1"/>
  <c r="J618" i="1"/>
  <c r="G42" i="2"/>
  <c r="J51" i="1"/>
  <c r="G16" i="2"/>
  <c r="J19" i="1"/>
  <c r="G621" i="1" s="1"/>
  <c r="G18" i="2"/>
  <c r="F545" i="1"/>
  <c r="H434" i="1"/>
  <c r="J620" i="1"/>
  <c r="D103" i="2"/>
  <c r="I140" i="1"/>
  <c r="I193" i="1" s="1"/>
  <c r="G630" i="1" s="1"/>
  <c r="J630" i="1" s="1"/>
  <c r="G50" i="2"/>
  <c r="G51" i="2" s="1"/>
  <c r="J652" i="1"/>
  <c r="J642" i="1"/>
  <c r="G571" i="1"/>
  <c r="I434" i="1"/>
  <c r="G434" i="1"/>
  <c r="I663" i="1"/>
  <c r="C27" i="10"/>
  <c r="G635" i="1"/>
  <c r="C40" i="12" l="1"/>
  <c r="A40" i="12" s="1"/>
  <c r="G629" i="1"/>
  <c r="H468" i="1"/>
  <c r="G627" i="1"/>
  <c r="F468" i="1"/>
  <c r="H635" i="1"/>
  <c r="J635" i="1" s="1"/>
  <c r="G474" i="1"/>
  <c r="H664" i="1"/>
  <c r="H667" i="1" s="1"/>
  <c r="C22" i="12"/>
  <c r="A22" i="12" s="1"/>
  <c r="D51" i="2"/>
  <c r="F33" i="13"/>
  <c r="C13" i="12"/>
  <c r="A13" i="12" s="1"/>
  <c r="G646" i="1"/>
  <c r="J468" i="1"/>
  <c r="C115" i="2"/>
  <c r="C16" i="13"/>
  <c r="L257" i="1"/>
  <c r="L271" i="1" s="1"/>
  <c r="F472" i="1" s="1"/>
  <c r="H648" i="1"/>
  <c r="J648" i="1" s="1"/>
  <c r="I661" i="1"/>
  <c r="E51" i="2"/>
  <c r="J647" i="1"/>
  <c r="L545" i="1"/>
  <c r="D31" i="13"/>
  <c r="C31" i="13" s="1"/>
  <c r="E145" i="2"/>
  <c r="L338" i="1"/>
  <c r="L352" i="1" s="1"/>
  <c r="C25" i="13"/>
  <c r="H33" i="13"/>
  <c r="G664" i="1"/>
  <c r="C128" i="2"/>
  <c r="C28" i="10"/>
  <c r="D24" i="10" s="1"/>
  <c r="C104" i="2"/>
  <c r="F660" i="1"/>
  <c r="D104" i="2"/>
  <c r="L408" i="1"/>
  <c r="C51" i="2"/>
  <c r="G631" i="1"/>
  <c r="G193" i="1"/>
  <c r="G626" i="1"/>
  <c r="J52" i="1"/>
  <c r="H621" i="1" s="1"/>
  <c r="J621" i="1" s="1"/>
  <c r="C38" i="10"/>
  <c r="G633" i="1" l="1"/>
  <c r="H472" i="1"/>
  <c r="H470" i="1"/>
  <c r="H629" i="1"/>
  <c r="J629" i="1" s="1"/>
  <c r="G628" i="1"/>
  <c r="G468" i="1"/>
  <c r="F470" i="1"/>
  <c r="H627" i="1"/>
  <c r="J627" i="1" s="1"/>
  <c r="H672" i="1"/>
  <c r="C6" i="10" s="1"/>
  <c r="G632" i="1"/>
  <c r="C145" i="2"/>
  <c r="J470" i="1"/>
  <c r="J476" i="1" s="1"/>
  <c r="H626" i="1" s="1"/>
  <c r="J626" i="1" s="1"/>
  <c r="H631" i="1"/>
  <c r="J631" i="1" s="1"/>
  <c r="H637" i="1"/>
  <c r="D33" i="13"/>
  <c r="D36" i="13" s="1"/>
  <c r="G667" i="1"/>
  <c r="G672" i="1"/>
  <c r="C5" i="10" s="1"/>
  <c r="D23" i="10"/>
  <c r="D20" i="10"/>
  <c r="D13" i="10"/>
  <c r="D15" i="10"/>
  <c r="D11" i="10"/>
  <c r="C30" i="10"/>
  <c r="D25" i="10"/>
  <c r="D21" i="10"/>
  <c r="D10" i="10"/>
  <c r="D12" i="10"/>
  <c r="D18" i="10"/>
  <c r="D16" i="10"/>
  <c r="D26" i="10"/>
  <c r="D19" i="10"/>
  <c r="D22" i="10"/>
  <c r="D27" i="10"/>
  <c r="D17" i="10"/>
  <c r="G637" i="1"/>
  <c r="H646" i="1"/>
  <c r="J646" i="1" s="1"/>
  <c r="F664" i="1"/>
  <c r="I660" i="1"/>
  <c r="I664" i="1" s="1"/>
  <c r="I672" i="1" s="1"/>
  <c r="C7" i="10" s="1"/>
  <c r="C41" i="10"/>
  <c r="D38" i="10" s="1"/>
  <c r="H474" i="1" l="1"/>
  <c r="H476" i="1" s="1"/>
  <c r="H624" i="1" s="1"/>
  <c r="J624" i="1" s="1"/>
  <c r="H633" i="1"/>
  <c r="J633" i="1" s="1"/>
  <c r="G470" i="1"/>
  <c r="G476" i="1" s="1"/>
  <c r="H623" i="1" s="1"/>
  <c r="J623" i="1" s="1"/>
  <c r="H628" i="1"/>
  <c r="J628" i="1" s="1"/>
  <c r="F474" i="1"/>
  <c r="F476" i="1" s="1"/>
  <c r="H622" i="1" s="1"/>
  <c r="J622" i="1" s="1"/>
  <c r="H632" i="1"/>
  <c r="J637" i="1"/>
  <c r="D28" i="10"/>
  <c r="I667" i="1"/>
  <c r="F672" i="1"/>
  <c r="C4" i="10" s="1"/>
  <c r="F667" i="1"/>
  <c r="D37" i="10"/>
  <c r="D36" i="10"/>
  <c r="D35" i="10"/>
  <c r="D40" i="10"/>
  <c r="D39" i="10"/>
  <c r="H656" i="1" l="1"/>
  <c r="J632" i="1"/>
  <c r="D41" i="10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<sst xmlns="http://schemas.openxmlformats.org/spreadsheetml/2006/main" count="3956" uniqueCount="913">
  <si>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</si>
  <si>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</si>
  <si>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</si>
  <si>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</si>
  <si>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</si>
  <si>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</si>
  <si>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</si>
  <si>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</si>
  <si>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</si>
  <si>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</si>
  <si>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</si>
  <si>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</si>
  <si>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</si>
  <si>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</si>
  <si>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</si>
  <si>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</si>
  <si>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</si>
  <si>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</si>
  <si>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</si>
  <si>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</si>
  <si>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</si>
  <si>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</si>
  <si>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</si>
  <si>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</si>
  <si>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</si>
  <si>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</si>
  <si>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</si>
  <si>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</si>
  <si>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</si>
  <si>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</si>
  <si>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</si>
  <si>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</si>
  <si>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</si>
  <si>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</si>
  <si>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</si>
  <si>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</si>
  <si>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</si>
  <si>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</si>
  <si>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</si>
  <si>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</si>
  <si>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</si>
  <si>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</si>
  <si>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</si>
  <si>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</si>
  <si>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</si>
  <si>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</si>
  <si>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</si>
  <si>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</si>
  <si>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</si>
  <si>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</si>
  <si>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</si>
  <si>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</si>
  <si>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</si>
  <si>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</si>
  <si>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</si>
  <si>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</si>
  <si>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</si>
  <si>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</si>
  <si>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</si>
  <si>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</si>
  <si>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</si>
  <si>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</si>
  <si>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</si>
  <si>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</si>
  <si>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</si>
  <si>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</si>
  <si>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</si>
  <si>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</si>
  <si>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</si>
  <si>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</si>
  <si>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</si>
  <si>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</si>
  <si>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</si>
  <si>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</si>
  <si>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</si>
  <si>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</si>
  <si>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</si>
  <si>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</si>
  <si>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</si>
  <si>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</si>
  <si>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</si>
  <si>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</si>
  <si>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</si>
  <si>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</si>
  <si>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</si>
  <si>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</si>
  <si>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</si>
  <si>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</si>
  <si>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</si>
  <si>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</si>
  <si>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</si>
  <si>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</si>
  <si>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</si>
  <si>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</si>
  <si>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</si>
  <si>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</si>
  <si>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</si>
  <si>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</si>
  <si>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</si>
  <si>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</si>
  <si>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</si>
  <si>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</si>
  <si>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</si>
  <si>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</si>
  <si>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</si>
  <si>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</si>
  <si>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</si>
  <si>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</si>
  <si>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</si>
  <si>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</si>
  <si>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</si>
  <si>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</si>
  <si>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</si>
  <si>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</si>
  <si>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</si>
  <si>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</si>
  <si>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</si>
  <si>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</si>
  <si>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</si>
  <si>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</si>
  <si>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</si>
  <si>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</si>
  <si>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</si>
  <si>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</si>
  <si>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</si>
  <si>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</si>
  <si>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</si>
  <si>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</si>
  <si>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</si>
  <si>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</si>
  <si>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</si>
  <si>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</si>
  <si>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</si>
  <si>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</si>
  <si>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</si>
  <si>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</si>
  <si>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</si>
  <si>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</si>
  <si>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</si>
  <si>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</si>
  <si>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</si>
  <si>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</si>
  <si>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</si>
  <si>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</si>
  <si>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</si>
  <si>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</si>
  <si>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</si>
  <si>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</si>
  <si>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</si>
  <si>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</si>
  <si>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</si>
  <si>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</si>
  <si>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</si>
  <si>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</si>
  <si>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</si>
  <si>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</si>
  <si>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</si>
  <si>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</si>
  <si>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</si>
  <si>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</si>
  <si>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</si>
  <si>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</si>
  <si>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</si>
  <si>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</si>
  <si>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</si>
  <si>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</si>
  <si>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</si>
  <si>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</si>
  <si>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</si>
  <si>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</si>
  <si>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</si>
  <si>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</si>
  <si>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</si>
  <si>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</si>
  <si>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</si>
  <si>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</si>
  <si>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</si>
  <si>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</si>
  <si>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</si>
  <si>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</si>
  <si>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</si>
  <si>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</si>
  <si>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</si>
  <si>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</si>
  <si>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</si>
  <si>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</si>
  <si>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</si>
  <si>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</si>
  <si>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</si>
  <si>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</si>
  <si>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</si>
  <si>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</si>
  <si>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</si>
  <si>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</si>
  <si>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</si>
  <si>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</si>
  <si>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</si>
  <si>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</si>
  <si>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</si>
  <si>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</si>
  <si>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</si>
  <si>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</si>
  <si>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</si>
  <si>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</si>
  <si>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</si>
  <si>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</si>
  <si>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</si>
  <si>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</si>
  <si>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</si>
  <si>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</si>
  <si>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</si>
  <si>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</si>
  <si>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</si>
  <si>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</si>
  <si>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</si>
  <si>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</si>
  <si>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</si>
  <si>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</si>
  <si>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</si>
  <si>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</si>
  <si>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</si>
  <si>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</si>
  <si>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</si>
  <si>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</si>
  <si>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</si>
  <si>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</si>
  <si>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</si>
  <si>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</si>
  <si>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</si>
  <si>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</si>
  <si>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</si>
  <si>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</si>
  <si>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</si>
  <si>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</si>
  <si>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</si>
  <si>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</si>
  <si>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</si>
  <si>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</si>
  <si>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</si>
  <si>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</si>
  <si>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</si>
  <si>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</si>
  <si>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</si>
  <si>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</si>
  <si>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</si>
  <si>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</si>
  <si>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</si>
  <si>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</si>
  <si>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</si>
  <si>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</si>
  <si>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</si>
  <si>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</si>
  <si>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</si>
  <si>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</si>
  <si>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</si>
  <si>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</si>
  <si>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</si>
  <si>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</si>
  <si>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</si>
  <si>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</si>
  <si>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</si>
  <si>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</si>
  <si>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</si>
  <si>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</si>
  <si>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</si>
  <si>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</si>
  <si>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</si>
  <si>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</si>
  <si>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</si>
  <si>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</si>
  <si>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</si>
  <si>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</si>
  <si>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</si>
  <si>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</si>
  <si>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</si>
  <si>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</si>
  <si>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</si>
  <si>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</si>
  <si>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</si>
  <si>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</si>
  <si>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</si>
  <si>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</si>
  <si>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</si>
  <si>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</si>
  <si>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</si>
  <si>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</si>
  <si>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</si>
  <si>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</si>
  <si>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</si>
  <si>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</si>
  <si>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</si>
  <si>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</si>
  <si>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</si>
  <si>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</si>
  <si>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</si>
  <si>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</si>
  <si>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</si>
  <si>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</si>
  <si>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</si>
  <si>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</si>
  <si>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</si>
  <si>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</si>
  <si>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</si>
  <si>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</si>
  <si>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</si>
  <si>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</si>
  <si>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</si>
  <si>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</si>
  <si>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</si>
  <si>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</si>
  <si>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</si>
  <si>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</si>
  <si>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</si>
  <si>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</si>
  <si>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</si>
  <si>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</si>
  <si>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</si>
  <si>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</si>
  <si>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</si>
  <si>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</si>
  <si>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</si>
  <si>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</si>
  <si>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</si>
  <si>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</si>
  <si>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</si>
  <si>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</si>
  <si>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</si>
  <si>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</si>
  <si>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</si>
  <si>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</si>
  <si>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</si>
  <si>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</si>
  <si>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</si>
  <si>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</si>
  <si>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</si>
  <si>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</si>
  <si>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</si>
  <si>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</si>
  <si>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</si>
  <si>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</si>
  <si>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</si>
  <si>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</si>
  <si>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</si>
  <si>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</si>
  <si>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</si>
  <si>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</si>
  <si>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</si>
  <si>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</si>
  <si>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</si>
  <si>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</si>
  <si>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</si>
  <si>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</si>
  <si>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</si>
  <si>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</si>
  <si>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</si>
  <si>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</si>
  <si>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</si>
  <si>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</si>
  <si>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</si>
  <si>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</si>
  <si>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</si>
  <si>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</si>
  <si>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</si>
  <si>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</si>
  <si>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</si>
  <si>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</si>
  <si>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</si>
  <si>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</si>
  <si>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</si>
  <si>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</si>
  <si>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</si>
  <si>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</si>
  <si>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</si>
  <si>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</si>
  <si>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</si>
  <si>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</si>
  <si>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</si>
  <si>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</si>
  <si>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</si>
  <si>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</si>
  <si>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</si>
  <si>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</si>
  <si>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</si>
  <si>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</si>
  <si>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</si>
  <si>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</si>
  <si>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</si>
  <si>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</si>
  <si>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</si>
  <si>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</si>
  <si>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</si>
  <si>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</si>
  <si>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</si>
  <si>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</si>
  <si>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</si>
  <si>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</si>
  <si>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</si>
  <si>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</si>
  <si>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</si>
  <si>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</si>
  <si>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</si>
  <si>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</si>
  <si>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</si>
  <si>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</si>
  <si>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</si>
  <si>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</si>
  <si>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</si>
  <si>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</si>
  <si>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</si>
  <si>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</si>
  <si>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</si>
  <si>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</si>
  <si>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</si>
  <si>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</si>
  <si>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</si>
  <si>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</si>
  <si>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</si>
  <si>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</si>
  <si>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</si>
  <si>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</si>
  <si>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</si>
  <si>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</si>
  <si>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</si>
  <si>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</si>
  <si>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</si>
  <si>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</si>
  <si>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</si>
  <si>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</si>
  <si>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</si>
  <si>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</si>
  <si>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</si>
  <si>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</si>
  <si>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</si>
  <si>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</si>
  <si>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</si>
  <si>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</si>
  <si>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</si>
  <si>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</si>
  <si>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</si>
  <si>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</si>
  <si>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</si>
  <si>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</si>
  <si>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</si>
  <si>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</si>
  <si>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</si>
  <si>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</si>
  <si>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</si>
  <si>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</si>
  <si>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</si>
  <si>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</si>
  <si>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</si>
  <si>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</si>
  <si>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</si>
  <si>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</si>
  <si>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</si>
  <si>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</si>
  <si>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</si>
  <si>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</si>
  <si>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</si>
  <si>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</si>
  <si>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</si>
  <si>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</si>
  <si>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</si>
  <si>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</si>
  <si>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</si>
  <si>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</si>
  <si>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</si>
  <si>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</si>
  <si>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</si>
  <si>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</si>
  <si>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</si>
  <si>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</si>
  <si>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</si>
  <si>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</si>
  <si>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</si>
  <si>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</si>
  <si>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</si>
  <si>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</si>
  <si>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</si>
  <si>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</si>
  <si>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</si>
  <si>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</si>
  <si>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</si>
  <si>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</si>
  <si>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</si>
  <si>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</si>
  <si>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</si>
  <si>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</si>
  <si>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</si>
  <si>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</si>
  <si>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</si>
  <si>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</si>
  <si>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</si>
  <si>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</si>
  <si>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</si>
  <si>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</si>
  <si>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</si>
  <si>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</si>
  <si>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</si>
  <si>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</si>
  <si>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</si>
  <si>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</si>
  <si>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</si>
  <si>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</si>
  <si>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</si>
  <si>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</si>
  <si>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</si>
  <si>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</si>
  <si>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</si>
  <si>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</si>
  <si>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</si>
  <si>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</si>
  <si>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</si>
  <si>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</si>
  <si>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</si>
  <si>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</si>
  <si>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</si>
  <si>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</si>
  <si>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</si>
  <si>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</si>
  <si>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</si>
  <si>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</si>
  <si>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</si>
  <si>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</si>
  <si>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</si>
  <si>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</si>
  <si>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</si>
  <si>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</si>
  <si>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</si>
  <si>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</si>
  <si>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</si>
  <si>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</si>
  <si>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</si>
  <si>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</si>
  <si>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</si>
  <si>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</si>
  <si>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</si>
  <si>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</si>
  <si>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</si>
  <si>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</si>
  <si>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</si>
  <si>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</si>
  <si>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</si>
  <si>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</si>
  <si>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</si>
  <si>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</si>
  <si>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</si>
  <si>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</si>
  <si>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</si>
  <si>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</si>
  <si>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</si>
  <si>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</si>
  <si>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</si>
  <si>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</si>
  <si>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</si>
  <si>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</si>
  <si>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</si>
  <si>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</si>
  <si>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</si>
  <si>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</si>
  <si>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</si>
  <si>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</si>
  <si>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</si>
  <si>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</si>
  <si>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</si>
  <si>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</si>
  <si>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</si>
  <si>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</si>
  <si>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</si>
  <si>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</si>
  <si>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</si>
  <si>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</si>
  <si>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</si>
  <si>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</si>
  <si>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</si>
  <si>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</si>
  <si>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</si>
  <si>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</si>
  <si>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</si>
  <si>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</si>
  <si>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</si>
  <si>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</si>
  <si>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</si>
  <si>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</si>
  <si>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</si>
  <si>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</si>
  <si>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</si>
  <si>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</si>
  <si>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</si>
  <si>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</si>
  <si>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</si>
  <si>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</si>
  <si>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</si>
  <si>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</si>
  <si>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</si>
  <si>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</si>
  <si>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</si>
  <si>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</si>
  <si>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</si>
  <si>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</si>
  <si>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</si>
  <si>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</si>
  <si>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</si>
  <si>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</si>
  <si>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</si>
  <si>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</si>
  <si>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</si>
  <si>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</si>
  <si>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</si>
  <si>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</si>
  <si>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</si>
  <si>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</si>
  <si>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</si>
  <si>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</si>
  <si>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</si>
  <si>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</si>
  <si>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</si>
  <si>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</si>
  <si>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</si>
  <si>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</si>
  <si>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</si>
  <si>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</si>
  <si>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</si>
  <si>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</si>
  <si>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</si>
  <si>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</si>
  <si>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</si>
  <si>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</si>
  <si>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</si>
  <si>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</si>
  <si>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</si>
  <si>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</si>
  <si>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</si>
  <si>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</si>
  <si>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</si>
  <si>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</si>
  <si>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</si>
  <si>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</si>
  <si>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</si>
  <si>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</si>
  <si>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</si>
  <si>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</si>
  <si>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</si>
  <si>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</si>
  <si>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</si>
  <si>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</si>
  <si>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</si>
  <si>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</si>
  <si>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</si>
  <si>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</si>
  <si>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</si>
  <si>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</si>
  <si>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</si>
  <si>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</si>
  <si>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</si>
  <si>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</si>
  <si>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</si>
  <si>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</si>
  <si>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</si>
  <si>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</si>
  <si>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</si>
  <si>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</si>
  <si>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</si>
  <si>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</si>
  <si>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</si>
  <si>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</si>
  <si>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</si>
  <si>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</si>
  <si>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</si>
  <si>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</si>
  <si>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</si>
  <si>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</si>
  <si>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</si>
  <si>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</si>
  <si>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</si>
  <si>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</si>
  <si>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</si>
  <si>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</si>
  <si>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</si>
  <si>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</si>
  <si>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</si>
  <si>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</si>
  <si>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</si>
  <si>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</si>
  <si>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</si>
  <si>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</si>
  <si>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</si>
  <si>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</si>
  <si>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</si>
  <si>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</si>
  <si>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</si>
  <si>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</si>
  <si>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</si>
  <si>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</si>
  <si>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</si>
  <si>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</si>
  <si>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</si>
  <si>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</si>
  <si>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</si>
  <si>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</si>
  <si>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</si>
  <si>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</si>
  <si>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</si>
  <si>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</si>
  <si>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</si>
  <si>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</si>
  <si>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</si>
  <si>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</si>
  <si>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</si>
  <si>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</si>
  <si>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</si>
  <si>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</si>
  <si>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</si>
  <si>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</si>
  <si>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</si>
  <si>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</si>
  <si>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</si>
  <si>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</si>
  <si>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</si>
  <si>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</si>
  <si>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</si>
  <si>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</si>
  <si>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</si>
  <si>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</si>
  <si>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</si>
  <si>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</si>
  <si>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</si>
  <si>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</si>
  <si>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</si>
  <si>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</si>
  <si>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</si>
  <si>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</si>
  <si>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</si>
  <si>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</si>
  <si>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</si>
  <si>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</si>
  <si>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</si>
  <si>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</si>
  <si>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</si>
  <si>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</si>
  <si>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</si>
  <si>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</si>
  <si>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</si>
  <si>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</si>
  <si>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</si>
  <si>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</si>
  <si>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</si>
  <si>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</si>
  <si>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</si>
  <si>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</si>
  <si>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</si>
  <si>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</si>
  <si>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</si>
  <si>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</si>
  <si>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</si>
  <si>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</si>
  <si>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</si>
  <si>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</si>
  <si>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</si>
  <si>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</si>
  <si>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</si>
  <si>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</si>
  <si>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</si>
  <si>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</si>
  <si>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</si>
  <si>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</si>
  <si>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</si>
  <si>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</si>
  <si>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</si>
  <si>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</si>
  <si>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</si>
  <si>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</si>
  <si>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</si>
  <si>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</si>
  <si>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</si>
  <si>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</si>
  <si>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</si>
  <si>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</si>
  <si>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</si>
  <si>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</si>
  <si>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</si>
  <si>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</si>
  <si>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</si>
  <si>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</si>
  <si>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</si>
  <si>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</si>
  <si>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</si>
  <si>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</si>
  <si>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</si>
  <si>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</si>
  <si>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</si>
  <si>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</si>
  <si>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</si>
  <si>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</si>
  <si>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</si>
  <si>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</si>
  <si>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</si>
  <si>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</si>
  <si>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</si>
  <si>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</si>
  <si>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</si>
  <si>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</si>
  <si>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</si>
  <si>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</si>
  <si>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</si>
  <si>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</si>
  <si>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</si>
  <si>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</si>
  <si>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</si>
  <si>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</si>
  <si>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</si>
  <si>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</si>
  <si>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</si>
  <si>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</si>
  <si>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</si>
  <si>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</si>
  <si>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</si>
  <si>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</si>
  <si>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</si>
  <si>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</si>
  <si>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</si>
  <si>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</si>
  <si>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</si>
  <si>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</si>
  <si>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</si>
  <si>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</si>
  <si>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</si>
  <si>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</si>
  <si>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</si>
  <si>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</si>
  <si>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</si>
  <si>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</si>
  <si>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</si>
  <si>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</si>
  <si>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</si>
  <si>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</si>
  <si>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</si>
  <si>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</si>
  <si>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</si>
  <si>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</si>
  <si>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</si>
  <si>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</si>
  <si>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</si>
  <si>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</si>
  <si>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</si>
  <si>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</si>
  <si>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</si>
  <si>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</si>
  <si>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</si>
  <si>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</si>
  <si>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</si>
  <si>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</si>
  <si>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</si>
  <si>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</si>
  <si>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</si>
  <si>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</si>
  <si>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</si>
  <si>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</si>
  <si>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</si>
  <si>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</si>
  <si>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</si>
  <si>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</si>
  <si>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</si>
  <si>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</si>
  <si>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</si>
  <si>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</si>
  <si>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</si>
  <si>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</si>
  <si>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</si>
  <si>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</si>
  <si>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</si>
  <si>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</si>
  <si>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</si>
  <si>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</si>
  <si>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</si>
  <si>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</si>
  <si>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</si>
  <si>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</si>
  <si>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</si>
  <si>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</si>
  <si>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</si>
  <si>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</si>
  <si>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</si>
  <si>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</si>
  <si>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</si>
  <si>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</si>
  <si>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</si>
  <si>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</si>
  <si>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</si>
  <si>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</si>
  <si>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</si>
  <si>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</si>
  <si>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</si>
  <si>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</si>
  <si>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</si>
  <si>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</si>
  <si>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</si>
  <si>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</si>
  <si>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</si>
  <si>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</si>
  <si>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</si>
  <si>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</si>
  <si>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2015-2016 Current Expenditure Per Pupil(in dollars)</t>
  </si>
  <si>
    <t>2015-16-Current Expenditure Per Pupil</t>
  </si>
  <si>
    <t>2015-16-Total Revenues</t>
  </si>
  <si>
    <t>Indirect Cost Rate to be determine at later date for FY2017-2018</t>
  </si>
  <si>
    <t>DOE 25  2015-2016</t>
  </si>
  <si>
    <t>TOTAL FUND EQUITY, JULY 1, 2015</t>
  </si>
  <si>
    <t xml:space="preserve">Total Fund Equity June 30, 2016**** </t>
  </si>
  <si>
    <t>For the Fiscal Year Ending on June 30, 2016</t>
  </si>
  <si>
    <t>For Fiscal Year Ending June 30, 2016</t>
  </si>
  <si>
    <t xml:space="preserve">             2015-2016</t>
  </si>
  <si>
    <t>Mont Vernon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</si>
</sst>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="90" zoomScaleNormal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50" sqref="F5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906</v>
      </c>
      <c r="I1" s="13"/>
      <c r="J1" s="13"/>
      <c r="K1" s="13"/>
      <c r="L1" s="13"/>
    </row>
    <row r="2" spans="1:14" s="3" customFormat="1" ht="12" customHeight="1" x14ac:dyDescent="0.2">
      <c r="A2" s="176" t="s">
        <v>912</v>
      </c>
      <c r="B2" s="21">
        <v>367</v>
      </c>
      <c r="C2" s="21">
        <v>367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468098.02</v>
      </c>
      <c r="G9" s="18"/>
      <c r="H9" s="18"/>
      <c r="I9" s="18"/>
      <c r="J9" s="67">
        <f>SUM(I439)</f>
        <v>11987.8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>
        <v>0</v>
      </c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>
        <v>0</v>
      </c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1890.42</v>
      </c>
      <c r="G12" s="18">
        <v>17405.650000000001</v>
      </c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16576.439999999999</v>
      </c>
      <c r="G13" s="18">
        <v>2551.34</v>
      </c>
      <c r="H13" s="18">
        <v>19306.54</v>
      </c>
      <c r="I13" s="18"/>
      <c r="J13" s="67">
        <f>SUM(I442)</f>
        <v>105642.64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0</v>
      </c>
      <c r="G14" s="18">
        <v>0</v>
      </c>
      <c r="H14" s="18">
        <v>0</v>
      </c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>
        <v>0</v>
      </c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486564.88</v>
      </c>
      <c r="G19" s="41">
        <f>SUM(G9:G18)</f>
        <v>19956.990000000002</v>
      </c>
      <c r="H19" s="41">
        <f>SUM(H9:H18)</f>
        <v>19306.54</v>
      </c>
      <c r="I19" s="41">
        <f>SUM(I9:I18)</f>
        <v>0</v>
      </c>
      <c r="J19" s="41">
        <f>SUM(J9:J18)</f>
        <v>117630.44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>
        <v>19296.07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f>114117.3+0.07</f>
        <v>114117.37000000001</v>
      </c>
      <c r="G23" s="18">
        <v>1191.8699999999999</v>
      </c>
      <c r="H23" s="18">
        <v>0</v>
      </c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f>42952.27</f>
        <v>42952.27</v>
      </c>
      <c r="G24" s="18">
        <v>0</v>
      </c>
      <c r="H24" s="18">
        <v>0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3858.02</v>
      </c>
      <c r="G28" s="18">
        <v>0</v>
      </c>
      <c r="H28" s="18">
        <v>0</v>
      </c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v>11298.99</v>
      </c>
      <c r="G29" s="18">
        <v>0</v>
      </c>
      <c r="H29" s="18">
        <v>0</v>
      </c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>
        <v>0</v>
      </c>
      <c r="G30" s="18">
        <v>2779.66</v>
      </c>
      <c r="H30" s="18">
        <v>10.47</v>
      </c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>
        <v>0</v>
      </c>
      <c r="G31" s="18">
        <v>0</v>
      </c>
      <c r="H31" s="18">
        <v>0</v>
      </c>
      <c r="I31" s="18"/>
      <c r="J31" s="67">
        <f>SUM(I451)</f>
        <v>11987.8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172226.65</v>
      </c>
      <c r="G32" s="41">
        <f>SUM(G22:G31)</f>
        <v>3971.5299999999997</v>
      </c>
      <c r="H32" s="41">
        <f>SUM(H22:H31)</f>
        <v>19306.54</v>
      </c>
      <c r="I32" s="41">
        <f>SUM(I22:I31)</f>
        <v>0</v>
      </c>
      <c r="J32" s="41">
        <f>SUM(J22:J31)</f>
        <v>11987.8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56134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>
        <f>13938.4+2047.06</f>
        <v>15985.46</v>
      </c>
      <c r="H48" s="18">
        <v>0</v>
      </c>
      <c r="I48" s="18"/>
      <c r="J48" s="13">
        <f>SUM(I459)</f>
        <v>105642.64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v>0</v>
      </c>
      <c r="G49" s="18">
        <v>0</v>
      </c>
      <c r="H49" s="18">
        <v>0</v>
      </c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f>297761.79+16576.44-56134</f>
        <v>258204.22999999998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314338.23</v>
      </c>
      <c r="G51" s="41">
        <f>SUM(G35:G50)</f>
        <v>15985.46</v>
      </c>
      <c r="H51" s="41">
        <f>SUM(H35:H50)</f>
        <v>0</v>
      </c>
      <c r="I51" s="41">
        <f>SUM(I35:I50)</f>
        <v>0</v>
      </c>
      <c r="J51" s="41">
        <f>SUM(J35:J50)</f>
        <v>105642.64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486564.88</v>
      </c>
      <c r="G52" s="41">
        <f>G51+G32</f>
        <v>19956.989999999998</v>
      </c>
      <c r="H52" s="41">
        <f>H51+H32</f>
        <v>19306.54</v>
      </c>
      <c r="I52" s="41">
        <f>I51+I32</f>
        <v>0</v>
      </c>
      <c r="J52" s="41">
        <f>J51+J32</f>
        <v>117630.44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3273846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3273846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0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/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353.04</v>
      </c>
      <c r="G96" s="18"/>
      <c r="H96" s="18"/>
      <c r="I96" s="18"/>
      <c r="J96" s="18">
        <v>324.44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44074.89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0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>
        <v>70</v>
      </c>
      <c r="G102" s="18"/>
      <c r="H102" s="18">
        <v>500</v>
      </c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>
        <v>0</v>
      </c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>
        <v>787.93</v>
      </c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>
        <v>1590.76</v>
      </c>
      <c r="G109" s="18">
        <v>0</v>
      </c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71.61</v>
      </c>
      <c r="G110" s="18">
        <v>7.85</v>
      </c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2873.34</v>
      </c>
      <c r="G111" s="41">
        <f>SUM(G96:G110)</f>
        <v>44082.74</v>
      </c>
      <c r="H111" s="41">
        <f>SUM(H96:H110)</f>
        <v>500</v>
      </c>
      <c r="I111" s="41">
        <f>SUM(I96:I110)</f>
        <v>0</v>
      </c>
      <c r="J111" s="41">
        <f>SUM(J96:J110)</f>
        <v>324.44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3276719.34</v>
      </c>
      <c r="G112" s="41">
        <f>G60+G111</f>
        <v>44082.74</v>
      </c>
      <c r="H112" s="41">
        <f>H60+H79+H94+H111</f>
        <v>500</v>
      </c>
      <c r="I112" s="41">
        <f>I60+I111</f>
        <v>0</v>
      </c>
      <c r="J112" s="41">
        <f>J60+J111</f>
        <v>324.44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763805.17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353889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1117694.17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0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654.66999999999996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839.99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654.66999999999996</v>
      </c>
      <c r="G136" s="41">
        <f>SUM(G123:G135)</f>
        <v>839.99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1118348.8399999999</v>
      </c>
      <c r="G140" s="41">
        <f>G121+SUM(G136:G137)</f>
        <v>839.99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>
        <v>2102.34</v>
      </c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12727.2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12810.07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17822.12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47613.36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24633.42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>
        <v>16576.439999999999</v>
      </c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41209.86</v>
      </c>
      <c r="G162" s="41">
        <f>SUM(G150:G161)</f>
        <v>17822.12</v>
      </c>
      <c r="H162" s="41">
        <f>SUM(H150:H161)</f>
        <v>75252.97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41209.86</v>
      </c>
      <c r="G169" s="41">
        <f>G147+G162+SUM(G163:G168)</f>
        <v>17822.12</v>
      </c>
      <c r="H169" s="41">
        <f>H147+H162+SUM(H163:H168)</f>
        <v>75252.97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0</v>
      </c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4436278.04</v>
      </c>
      <c r="G193" s="47">
        <f>G112+G140+G169+G192</f>
        <v>62744.849999999991</v>
      </c>
      <c r="H193" s="47">
        <f>H112+H140+H169+H192</f>
        <v>75752.97</v>
      </c>
      <c r="I193" s="47">
        <f>I112+I140+I169+I192</f>
        <v>0</v>
      </c>
      <c r="J193" s="47">
        <f>J112+J140+J192</f>
        <v>324.44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878167.44</v>
      </c>
      <c r="G197" s="18">
        <v>339058.82</v>
      </c>
      <c r="H197" s="18">
        <v>11664.43</v>
      </c>
      <c r="I197" s="18">
        <v>37409.42</v>
      </c>
      <c r="J197" s="18">
        <v>31927.3</v>
      </c>
      <c r="K197" s="18">
        <v>0</v>
      </c>
      <c r="L197" s="19">
        <f>SUM(F197:K197)</f>
        <v>1298227.4099999999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174829.31</v>
      </c>
      <c r="G198" s="18">
        <v>66005.600000000006</v>
      </c>
      <c r="H198" s="18">
        <v>158528.64000000001</v>
      </c>
      <c r="I198" s="18">
        <v>319.95</v>
      </c>
      <c r="J198" s="18">
        <v>245</v>
      </c>
      <c r="K198" s="18">
        <v>150</v>
      </c>
      <c r="L198" s="19">
        <f>SUM(F198:K198)</f>
        <v>400078.50000000006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11668.88</v>
      </c>
      <c r="G200" s="18">
        <v>1660.44</v>
      </c>
      <c r="H200" s="18">
        <v>0</v>
      </c>
      <c r="I200" s="18">
        <v>138.81</v>
      </c>
      <c r="J200" s="18">
        <v>0</v>
      </c>
      <c r="K200" s="18">
        <v>243.5</v>
      </c>
      <c r="L200" s="19">
        <f>SUM(F200:K200)</f>
        <v>13711.63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188844.09</v>
      </c>
      <c r="G202" s="18">
        <v>85377.61</v>
      </c>
      <c r="H202" s="18">
        <v>98838.84</v>
      </c>
      <c r="I202" s="18">
        <v>4640.22</v>
      </c>
      <c r="J202" s="18">
        <v>0</v>
      </c>
      <c r="K202" s="18">
        <v>169</v>
      </c>
      <c r="L202" s="19">
        <f t="shared" ref="L202:L208" si="0">SUM(F202:K202)</f>
        <v>377869.76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69415.03</v>
      </c>
      <c r="G203" s="18">
        <v>26616.720000000001</v>
      </c>
      <c r="H203" s="18">
        <v>436.5</v>
      </c>
      <c r="I203" s="18">
        <v>6178.88</v>
      </c>
      <c r="J203" s="18">
        <v>0</v>
      </c>
      <c r="K203" s="18">
        <v>0</v>
      </c>
      <c r="L203" s="19">
        <f t="shared" si="0"/>
        <v>102647.13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3355.95</v>
      </c>
      <c r="G204" s="18">
        <v>271.26</v>
      </c>
      <c r="H204" s="18">
        <v>200454.42</v>
      </c>
      <c r="I204" s="18">
        <v>81.17</v>
      </c>
      <c r="J204" s="18">
        <v>0</v>
      </c>
      <c r="K204" s="18">
        <v>3005.61</v>
      </c>
      <c r="L204" s="19">
        <f t="shared" si="0"/>
        <v>207168.41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134884.38</v>
      </c>
      <c r="G205" s="18">
        <v>70718.740000000005</v>
      </c>
      <c r="H205" s="18">
        <v>4222.32</v>
      </c>
      <c r="I205" s="18">
        <v>2715.01</v>
      </c>
      <c r="J205" s="18">
        <v>827.5</v>
      </c>
      <c r="K205" s="18">
        <v>854</v>
      </c>
      <c r="L205" s="19">
        <f t="shared" si="0"/>
        <v>214221.95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87978.97</v>
      </c>
      <c r="G207" s="18">
        <v>36204.410000000003</v>
      </c>
      <c r="H207" s="18">
        <v>95279.1</v>
      </c>
      <c r="I207" s="18">
        <v>70570.820000000007</v>
      </c>
      <c r="J207" s="18">
        <v>2304.7600000000002</v>
      </c>
      <c r="K207" s="18">
        <v>0</v>
      </c>
      <c r="L207" s="19">
        <f t="shared" si="0"/>
        <v>292338.06000000006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v>0</v>
      </c>
      <c r="G208" s="18">
        <v>0</v>
      </c>
      <c r="H208" s="18">
        <v>145269.79999999999</v>
      </c>
      <c r="I208" s="18">
        <v>0</v>
      </c>
      <c r="J208" s="18">
        <v>0</v>
      </c>
      <c r="K208" s="18">
        <v>0</v>
      </c>
      <c r="L208" s="19">
        <f t="shared" si="0"/>
        <v>145269.79999999999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>
        <v>0</v>
      </c>
      <c r="G209" s="18">
        <v>0</v>
      </c>
      <c r="H209" s="18">
        <v>14890.87</v>
      </c>
      <c r="I209" s="18">
        <v>4425.09</v>
      </c>
      <c r="J209" s="18">
        <v>19156.46</v>
      </c>
      <c r="K209" s="18">
        <v>0</v>
      </c>
      <c r="L209" s="19">
        <f>SUM(F209:K209)</f>
        <v>38472.42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1549144.05</v>
      </c>
      <c r="G211" s="41">
        <f t="shared" si="1"/>
        <v>625913.60000000009</v>
      </c>
      <c r="H211" s="41">
        <f t="shared" si="1"/>
        <v>729584.92</v>
      </c>
      <c r="I211" s="41">
        <f t="shared" si="1"/>
        <v>126479.37</v>
      </c>
      <c r="J211" s="41">
        <f t="shared" si="1"/>
        <v>54461.020000000004</v>
      </c>
      <c r="K211" s="41">
        <f t="shared" si="1"/>
        <v>4422.1100000000006</v>
      </c>
      <c r="L211" s="41">
        <f t="shared" si="1"/>
        <v>3090005.07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>
        <v>1094303.79</v>
      </c>
      <c r="I215" s="18"/>
      <c r="J215" s="18"/>
      <c r="K215" s="18"/>
      <c r="L215" s="19">
        <f>SUM(F215:K215)</f>
        <v>1094303.79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>
        <v>0</v>
      </c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>
        <v>1627.5</v>
      </c>
      <c r="I220" s="18"/>
      <c r="J220" s="18"/>
      <c r="K220" s="18"/>
      <c r="L220" s="19">
        <f t="shared" ref="L220:L226" si="2">SUM(F220:K220)</f>
        <v>1627.5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57543.57</v>
      </c>
      <c r="I226" s="18"/>
      <c r="J226" s="18"/>
      <c r="K226" s="18"/>
      <c r="L226" s="19">
        <f t="shared" si="2"/>
        <v>57543.57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1153474.8600000001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1153474.8600000001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/>
      <c r="I233" s="18"/>
      <c r="J233" s="18"/>
      <c r="K233" s="18"/>
      <c r="L233" s="19">
        <f>SUM(F233:K233)</f>
        <v>0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/>
      <c r="I244" s="18"/>
      <c r="J244" s="18"/>
      <c r="K244" s="18"/>
      <c r="L244" s="19">
        <f t="shared" si="4"/>
        <v>0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0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0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1549144.05</v>
      </c>
      <c r="G257" s="41">
        <f t="shared" si="8"/>
        <v>625913.60000000009</v>
      </c>
      <c r="H257" s="41">
        <f t="shared" si="8"/>
        <v>1883059.7800000003</v>
      </c>
      <c r="I257" s="41">
        <f t="shared" si="8"/>
        <v>126479.37</v>
      </c>
      <c r="J257" s="41">
        <f t="shared" si="8"/>
        <v>54461.020000000004</v>
      </c>
      <c r="K257" s="41">
        <f t="shared" si="8"/>
        <v>4422.1100000000006</v>
      </c>
      <c r="L257" s="41">
        <f t="shared" si="8"/>
        <v>4243479.93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0</v>
      </c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0</v>
      </c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0</v>
      </c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>
        <v>0</v>
      </c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0</v>
      </c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0</v>
      </c>
      <c r="L270" s="41">
        <f t="shared" si="9"/>
        <v>0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1549144.05</v>
      </c>
      <c r="G271" s="42">
        <f t="shared" si="11"/>
        <v>625913.60000000009</v>
      </c>
      <c r="H271" s="42">
        <f t="shared" si="11"/>
        <v>1883059.7800000003</v>
      </c>
      <c r="I271" s="42">
        <f t="shared" si="11"/>
        <v>126479.37</v>
      </c>
      <c r="J271" s="42">
        <f t="shared" si="11"/>
        <v>54461.020000000004</v>
      </c>
      <c r="K271" s="42">
        <f t="shared" si="11"/>
        <v>4422.1100000000006</v>
      </c>
      <c r="L271" s="42">
        <f t="shared" si="11"/>
        <v>4243479.93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11227.89</v>
      </c>
      <c r="G276" s="18">
        <v>2109.2399999999998</v>
      </c>
      <c r="H276" s="18">
        <v>1265</v>
      </c>
      <c r="I276" s="18">
        <v>110.81</v>
      </c>
      <c r="J276" s="18">
        <v>0</v>
      </c>
      <c r="K276" s="18">
        <v>0</v>
      </c>
      <c r="L276" s="19">
        <f>SUM(F276:K276)</f>
        <v>14712.939999999999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38471.410000000003</v>
      </c>
      <c r="G277" s="18">
        <v>8840.15</v>
      </c>
      <c r="H277" s="18">
        <v>250</v>
      </c>
      <c r="I277" s="18">
        <v>51.8</v>
      </c>
      <c r="J277" s="18">
        <v>0</v>
      </c>
      <c r="K277" s="18">
        <v>0</v>
      </c>
      <c r="L277" s="19">
        <f>SUM(F277:K277)</f>
        <v>47613.360000000008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>
        <v>0</v>
      </c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7937.5</v>
      </c>
      <c r="G282" s="18">
        <v>1741.84</v>
      </c>
      <c r="H282" s="18">
        <v>1775.61</v>
      </c>
      <c r="I282" s="18">
        <v>316.14</v>
      </c>
      <c r="J282" s="18">
        <v>0</v>
      </c>
      <c r="K282" s="18">
        <v>0</v>
      </c>
      <c r="L282" s="19">
        <f t="shared" si="12"/>
        <v>11771.09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>
        <v>0</v>
      </c>
      <c r="G288" s="18">
        <v>0</v>
      </c>
      <c r="H288" s="18">
        <v>1655.58</v>
      </c>
      <c r="I288" s="18">
        <v>0</v>
      </c>
      <c r="J288" s="18">
        <v>0</v>
      </c>
      <c r="K288" s="18">
        <v>0</v>
      </c>
      <c r="L288" s="19">
        <f>SUM(F288:K288)</f>
        <v>1655.58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57636.800000000003</v>
      </c>
      <c r="G290" s="42">
        <f t="shared" si="13"/>
        <v>12691.23</v>
      </c>
      <c r="H290" s="42">
        <f t="shared" si="13"/>
        <v>4946.1899999999996</v>
      </c>
      <c r="I290" s="42">
        <f t="shared" si="13"/>
        <v>478.75</v>
      </c>
      <c r="J290" s="42">
        <f t="shared" si="13"/>
        <v>0</v>
      </c>
      <c r="K290" s="42">
        <f t="shared" si="13"/>
        <v>0</v>
      </c>
      <c r="L290" s="41">
        <f t="shared" si="13"/>
        <v>75752.97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57636.800000000003</v>
      </c>
      <c r="G338" s="41">
        <f t="shared" si="20"/>
        <v>12691.23</v>
      </c>
      <c r="H338" s="41">
        <f t="shared" si="20"/>
        <v>4946.1899999999996</v>
      </c>
      <c r="I338" s="41">
        <f t="shared" si="20"/>
        <v>478.75</v>
      </c>
      <c r="J338" s="41">
        <f t="shared" si="20"/>
        <v>0</v>
      </c>
      <c r="K338" s="41">
        <f t="shared" si="20"/>
        <v>0</v>
      </c>
      <c r="L338" s="41">
        <f t="shared" si="20"/>
        <v>75752.97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57636.800000000003</v>
      </c>
      <c r="G352" s="41">
        <f>G338</f>
        <v>12691.23</v>
      </c>
      <c r="H352" s="41">
        <f>H338</f>
        <v>4946.1899999999996</v>
      </c>
      <c r="I352" s="41">
        <f>I338</f>
        <v>478.75</v>
      </c>
      <c r="J352" s="41">
        <f>J338</f>
        <v>0</v>
      </c>
      <c r="K352" s="47">
        <f>K338+K351</f>
        <v>0</v>
      </c>
      <c r="L352" s="41">
        <f>L338+L351</f>
        <v>75752.97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25744.23</v>
      </c>
      <c r="G358" s="18">
        <v>2775.61</v>
      </c>
      <c r="H358" s="18">
        <v>2545.5</v>
      </c>
      <c r="I358" s="18">
        <v>26545.16</v>
      </c>
      <c r="J358" s="18">
        <v>3028</v>
      </c>
      <c r="K358" s="18">
        <v>59.29</v>
      </c>
      <c r="L358" s="13">
        <f>SUM(F358:K358)</f>
        <v>60697.79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25744.23</v>
      </c>
      <c r="G362" s="47">
        <f t="shared" si="22"/>
        <v>2775.61</v>
      </c>
      <c r="H362" s="47">
        <f t="shared" si="22"/>
        <v>2545.5</v>
      </c>
      <c r="I362" s="47">
        <f t="shared" si="22"/>
        <v>26545.16</v>
      </c>
      <c r="J362" s="47">
        <f t="shared" si="22"/>
        <v>3028</v>
      </c>
      <c r="K362" s="47">
        <f t="shared" si="22"/>
        <v>59.29</v>
      </c>
      <c r="L362" s="47">
        <f t="shared" si="22"/>
        <v>60697.79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23319.31</v>
      </c>
      <c r="G367" s="18"/>
      <c r="H367" s="18"/>
      <c r="I367" s="56">
        <f>SUM(F367:H367)</f>
        <v>23319.31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3225.85</v>
      </c>
      <c r="G368" s="63"/>
      <c r="H368" s="63"/>
      <c r="I368" s="56">
        <f>SUM(F368:H368)</f>
        <v>3225.85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26545.16</v>
      </c>
      <c r="G369" s="47">
        <f>SUM(G367:G368)</f>
        <v>0</v>
      </c>
      <c r="H369" s="47">
        <f>SUM(H367:H368)</f>
        <v>0</v>
      </c>
      <c r="I369" s="47">
        <f>SUM(I367:I368)</f>
        <v>26545.16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>
        <v>227.51</v>
      </c>
      <c r="I396" s="18"/>
      <c r="J396" s="24" t="s">
        <v>289</v>
      </c>
      <c r="K396" s="24" t="s">
        <v>289</v>
      </c>
      <c r="L396" s="56">
        <f t="shared" si="26"/>
        <v>227.51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>
        <v>96.93</v>
      </c>
      <c r="I400" s="18"/>
      <c r="J400" s="24" t="s">
        <v>289</v>
      </c>
      <c r="K400" s="24" t="s">
        <v>289</v>
      </c>
      <c r="L400" s="56">
        <f t="shared" si="26"/>
        <v>96.93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324.44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324.44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324.44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324.44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>
        <v>11987.8</v>
      </c>
      <c r="I439" s="56">
        <f t="shared" ref="I439:I445" si="33">SUM(F439:H439)</f>
        <v>11987.8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>
        <v>105642.64</v>
      </c>
      <c r="H442" s="18"/>
      <c r="I442" s="56">
        <f t="shared" si="33"/>
        <v>105642.64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105642.64</v>
      </c>
      <c r="H446" s="13">
        <f>SUM(H439:H445)</f>
        <v>11987.8</v>
      </c>
      <c r="I446" s="13">
        <f>SUM(I439:I445)</f>
        <v>117630.44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>
        <v>11987.8</v>
      </c>
      <c r="I451" s="56">
        <f>SUM(F451:H451)</f>
        <v>11987.8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11987.8</v>
      </c>
      <c r="I452" s="72">
        <f>SUM(I448:I451)</f>
        <v>11987.8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105642.64</v>
      </c>
      <c r="H459" s="18"/>
      <c r="I459" s="56">
        <f t="shared" si="34"/>
        <v>105642.64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105642.64</v>
      </c>
      <c r="H460" s="83">
        <f>SUM(H454:H459)</f>
        <v>0</v>
      </c>
      <c r="I460" s="83">
        <f>SUM(I454:I459)</f>
        <v>105642.64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105642.64</v>
      </c>
      <c r="H461" s="42">
        <f>H452+H460</f>
        <v>11987.8</v>
      </c>
      <c r="I461" s="42">
        <f>I452+I460</f>
        <v>117630.44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907</v>
      </c>
      <c r="B465" s="105">
        <v>19</v>
      </c>
      <c r="C465" s="111">
        <v>1</v>
      </c>
      <c r="D465" s="2" t="s">
        <v>433</v>
      </c>
      <c r="E465" s="111"/>
      <c r="F465" s="18">
        <v>121540.12</v>
      </c>
      <c r="G465" s="18">
        <v>13938.4</v>
      </c>
      <c r="H465" s="18">
        <v>0</v>
      </c>
      <c r="I465" s="18">
        <v>0</v>
      </c>
      <c r="J465" s="18">
        <v>105318.2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f>F193</f>
        <v>4436278.04</v>
      </c>
      <c r="G468" s="18">
        <f>G193</f>
        <v>62744.849999999991</v>
      </c>
      <c r="H468" s="18">
        <f>H193</f>
        <v>75752.97</v>
      </c>
      <c r="I468" s="18">
        <f>I193</f>
        <v>0</v>
      </c>
      <c r="J468" s="18">
        <f>J193</f>
        <v>324.44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4436278.04</v>
      </c>
      <c r="G470" s="53">
        <f>SUM(G468:G469)</f>
        <v>62744.849999999991</v>
      </c>
      <c r="H470" s="53">
        <f>SUM(H468:H469)</f>
        <v>75752.97</v>
      </c>
      <c r="I470" s="53">
        <f>SUM(I468:I469)</f>
        <v>0</v>
      </c>
      <c r="J470" s="53">
        <f>SUM(J468:J469)</f>
        <v>324.44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f>L271</f>
        <v>4243479.93</v>
      </c>
      <c r="G472" s="18">
        <f>L362</f>
        <v>60697.79</v>
      </c>
      <c r="H472" s="18">
        <f>L352</f>
        <v>75752.97</v>
      </c>
      <c r="I472" s="18">
        <f>L382</f>
        <v>0</v>
      </c>
      <c r="J472" s="18">
        <f>L434</f>
        <v>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4243479.93</v>
      </c>
      <c r="G474" s="53">
        <f>SUM(G472:G473)</f>
        <v>60697.79</v>
      </c>
      <c r="H474" s="53">
        <f>SUM(H472:H473)</f>
        <v>75752.97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908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314338.23000000045</v>
      </c>
      <c r="G476" s="53">
        <f>(G465+G470)- G474</f>
        <v>15985.459999999985</v>
      </c>
      <c r="H476" s="53">
        <f>(H465+H470)- H474</f>
        <v>0</v>
      </c>
      <c r="I476" s="53">
        <f>(I465+I470)- I474</f>
        <v>0</v>
      </c>
      <c r="J476" s="53">
        <f>(J465+J470)- J474</f>
        <v>105642.64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909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910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213300.72</v>
      </c>
      <c r="G521" s="18">
        <v>74845.75</v>
      </c>
      <c r="H521" s="18">
        <v>158778.64000000001</v>
      </c>
      <c r="I521" s="18">
        <v>371.75</v>
      </c>
      <c r="J521" s="18">
        <v>245</v>
      </c>
      <c r="K521" s="18">
        <v>150</v>
      </c>
      <c r="L521" s="88">
        <f>SUM(F521:K521)</f>
        <v>447691.86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/>
      <c r="I523" s="18"/>
      <c r="J523" s="18"/>
      <c r="K523" s="18"/>
      <c r="L523" s="88">
        <f>SUM(F523:K523)</f>
        <v>0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213300.72</v>
      </c>
      <c r="G524" s="108">
        <f t="shared" ref="G524:L524" si="36">SUM(G521:G523)</f>
        <v>74845.75</v>
      </c>
      <c r="H524" s="108">
        <f t="shared" si="36"/>
        <v>158778.64000000001</v>
      </c>
      <c r="I524" s="108">
        <f t="shared" si="36"/>
        <v>371.75</v>
      </c>
      <c r="J524" s="108">
        <f t="shared" si="36"/>
        <v>245</v>
      </c>
      <c r="K524" s="108">
        <f t="shared" si="36"/>
        <v>150</v>
      </c>
      <c r="L524" s="89">
        <f t="shared" si="36"/>
        <v>447691.86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88250.1</v>
      </c>
      <c r="G526" s="18">
        <v>42311.12</v>
      </c>
      <c r="H526" s="18">
        <v>93841.84</v>
      </c>
      <c r="I526" s="18">
        <v>3497.3</v>
      </c>
      <c r="J526" s="18">
        <v>0</v>
      </c>
      <c r="K526" s="18">
        <v>0</v>
      </c>
      <c r="L526" s="88">
        <f>SUM(F526:K526)</f>
        <v>227900.36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>
        <v>1627.5</v>
      </c>
      <c r="I527" s="18"/>
      <c r="J527" s="18"/>
      <c r="K527" s="18"/>
      <c r="L527" s="88">
        <f>SUM(F527:K527)</f>
        <v>1627.5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88250.1</v>
      </c>
      <c r="G529" s="89">
        <f t="shared" ref="G529:L529" si="37">SUM(G526:G528)</f>
        <v>42311.12</v>
      </c>
      <c r="H529" s="89">
        <f t="shared" si="37"/>
        <v>95469.34</v>
      </c>
      <c r="I529" s="89">
        <f t="shared" si="37"/>
        <v>3497.3</v>
      </c>
      <c r="J529" s="89">
        <f t="shared" si="37"/>
        <v>0</v>
      </c>
      <c r="K529" s="89">
        <f t="shared" si="37"/>
        <v>0</v>
      </c>
      <c r="L529" s="89">
        <f t="shared" si="37"/>
        <v>229527.86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v>2257.2800000000002</v>
      </c>
      <c r="I531" s="18"/>
      <c r="J531" s="18"/>
      <c r="K531" s="18"/>
      <c r="L531" s="88">
        <f>SUM(F531:K531)</f>
        <v>2257.2800000000002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2257.2800000000002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2257.2800000000002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3214.08</v>
      </c>
      <c r="I536" s="18"/>
      <c r="J536" s="18"/>
      <c r="K536" s="18"/>
      <c r="L536" s="88">
        <f>SUM(F536:K536)</f>
        <v>3214.08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3214.08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3214.08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39855</v>
      </c>
      <c r="I541" s="18"/>
      <c r="J541" s="18"/>
      <c r="K541" s="18"/>
      <c r="L541" s="88">
        <f>SUM(F541:K541)</f>
        <v>39855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31785</v>
      </c>
      <c r="I542" s="18"/>
      <c r="J542" s="18"/>
      <c r="K542" s="18"/>
      <c r="L542" s="88">
        <f>SUM(F542:K542)</f>
        <v>31785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71640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71640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301550.82</v>
      </c>
      <c r="G545" s="89">
        <f t="shared" ref="G545:L545" si="41">G524+G529+G534+G539+G544</f>
        <v>117156.87</v>
      </c>
      <c r="H545" s="89">
        <f t="shared" si="41"/>
        <v>331359.33999999997</v>
      </c>
      <c r="I545" s="89">
        <f t="shared" si="41"/>
        <v>3869.05</v>
      </c>
      <c r="J545" s="89">
        <f t="shared" si="41"/>
        <v>245</v>
      </c>
      <c r="K545" s="89">
        <f t="shared" si="41"/>
        <v>150</v>
      </c>
      <c r="L545" s="89">
        <f t="shared" si="41"/>
        <v>754331.08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447691.86</v>
      </c>
      <c r="G549" s="87">
        <f>L526</f>
        <v>227900.36</v>
      </c>
      <c r="H549" s="87">
        <f>L531</f>
        <v>2257.2800000000002</v>
      </c>
      <c r="I549" s="87">
        <f>L536</f>
        <v>3214.08</v>
      </c>
      <c r="J549" s="87">
        <f>L541</f>
        <v>39855</v>
      </c>
      <c r="K549" s="87">
        <f>SUM(F549:J549)</f>
        <v>720918.58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1627.5</v>
      </c>
      <c r="H550" s="87">
        <f>L532</f>
        <v>0</v>
      </c>
      <c r="I550" s="87">
        <f>L537</f>
        <v>0</v>
      </c>
      <c r="J550" s="87">
        <f>L542</f>
        <v>31785</v>
      </c>
      <c r="K550" s="87">
        <f>SUM(F550:J550)</f>
        <v>33412.5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0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0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447691.86</v>
      </c>
      <c r="G552" s="89">
        <f t="shared" si="42"/>
        <v>229527.86</v>
      </c>
      <c r="H552" s="89">
        <f t="shared" si="42"/>
        <v>2257.2800000000002</v>
      </c>
      <c r="I552" s="89">
        <f t="shared" si="42"/>
        <v>3214.08</v>
      </c>
      <c r="J552" s="89">
        <f t="shared" si="42"/>
        <v>71640</v>
      </c>
      <c r="K552" s="89">
        <f t="shared" si="42"/>
        <v>754331.08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>
        <v>1094303.79</v>
      </c>
      <c r="H575" s="18"/>
      <c r="I575" s="87">
        <f>SUM(F575:H575)</f>
        <v>1094303.79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74865.990000000005</v>
      </c>
      <c r="G582" s="18"/>
      <c r="H582" s="18"/>
      <c r="I582" s="87">
        <f t="shared" si="47"/>
        <v>74865.990000000005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102019.47</v>
      </c>
      <c r="I591" s="18">
        <v>25758.57</v>
      </c>
      <c r="J591" s="18"/>
      <c r="K591" s="104">
        <f t="shared" ref="K591:K597" si="48">SUM(H591:J591)</f>
        <v>127778.04000000001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39855</v>
      </c>
      <c r="I592" s="18">
        <v>31785</v>
      </c>
      <c r="J592" s="18"/>
      <c r="K592" s="104">
        <f t="shared" si="48"/>
        <v>71640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3395.33</v>
      </c>
      <c r="I595" s="18"/>
      <c r="J595" s="18"/>
      <c r="K595" s="104">
        <f t="shared" si="48"/>
        <v>3395.33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145269.79999999999</v>
      </c>
      <c r="I598" s="108">
        <f>SUM(I591:I597)</f>
        <v>57543.57</v>
      </c>
      <c r="J598" s="108">
        <f>SUM(J591:J597)</f>
        <v>0</v>
      </c>
      <c r="K598" s="108">
        <f>SUM(K591:K597)</f>
        <v>202813.37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>
        <v>0</v>
      </c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>
        <v>0</v>
      </c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54461.02</v>
      </c>
      <c r="I604" s="18"/>
      <c r="J604" s="18"/>
      <c r="K604" s="104">
        <f>SUM(H604:J604)</f>
        <v>54461.02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54461.02</v>
      </c>
      <c r="I605" s="108">
        <f>SUM(I602:I604)</f>
        <v>0</v>
      </c>
      <c r="J605" s="108">
        <f>SUM(J602:J604)</f>
        <v>0</v>
      </c>
      <c r="K605" s="108">
        <f>SUM(K602:K604)</f>
        <v>54461.02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v>9150</v>
      </c>
      <c r="G611" s="18">
        <v>1999.78</v>
      </c>
      <c r="H611" s="18"/>
      <c r="I611" s="18"/>
      <c r="J611" s="18"/>
      <c r="K611" s="18"/>
      <c r="L611" s="88">
        <f>SUM(F611:K611)</f>
        <v>11149.78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9150</v>
      </c>
      <c r="G614" s="108">
        <f t="shared" si="49"/>
        <v>1999.78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11149.78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486564.88</v>
      </c>
      <c r="H617" s="109">
        <f>SUM(F52)</f>
        <v>486564.88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19956.990000000002</v>
      </c>
      <c r="H618" s="109">
        <f>SUM(G52)</f>
        <v>19956.989999999998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19306.54</v>
      </c>
      <c r="H619" s="109">
        <f>SUM(H52)</f>
        <v>19306.54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117630.44</v>
      </c>
      <c r="H621" s="109">
        <f>SUM(J52)</f>
        <v>117630.44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314338.23</v>
      </c>
      <c r="H622" s="109">
        <f>F476</f>
        <v>314338.23000000045</v>
      </c>
      <c r="I622" s="121" t="s">
        <v>101</v>
      </c>
      <c r="J622" s="109">
        <f t="shared" ref="J622:J655" si="50">G622-H622</f>
        <v>-4.6566128730773926E-10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15985.46</v>
      </c>
      <c r="H623" s="109">
        <f>G476</f>
        <v>15985.459999999985</v>
      </c>
      <c r="I623" s="121" t="s">
        <v>102</v>
      </c>
      <c r="J623" s="109">
        <f t="shared" si="50"/>
        <v>1.4551915228366852E-11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105642.64</v>
      </c>
      <c r="H626" s="109">
        <f>J476</f>
        <v>105642.64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4436278.04</v>
      </c>
      <c r="H627" s="104">
        <f>SUM(F468)</f>
        <v>4436278.04</v>
      </c>
      <c r="I627" s="140" t="s">
        <v>106</v>
      </c>
      <c r="J627" s="109">
        <f>G627-H627</f>
        <v>0</v>
      </c>
      <c r="K627" s="85" t="s">
        <v>287</v>
      </c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62744.849999999991</v>
      </c>
      <c r="H628" s="104">
        <f>SUM(G468)</f>
        <v>62744.849999999991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75752.97</v>
      </c>
      <c r="H629" s="104">
        <f>SUM(H468)</f>
        <v>75752.97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324.44</v>
      </c>
      <c r="H631" s="104">
        <f>SUM(J468)</f>
        <v>324.44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4243479.93</v>
      </c>
      <c r="H632" s="104">
        <f>SUM(F472)</f>
        <v>4243479.93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75752.97</v>
      </c>
      <c r="H633" s="104">
        <f>SUM(H472)</f>
        <v>75752.97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26545.16</v>
      </c>
      <c r="H634" s="104">
        <f>I369</f>
        <v>26545.16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60697.79</v>
      </c>
      <c r="H635" s="104">
        <f>SUM(G472)</f>
        <v>60697.79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324.44</v>
      </c>
      <c r="H637" s="164">
        <f>SUM(J468)</f>
        <v>324.44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105642.64</v>
      </c>
      <c r="H640" s="104">
        <f>SUM(G461)</f>
        <v>105642.64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11987.8</v>
      </c>
      <c r="H641" s="104">
        <f>SUM(H461)</f>
        <v>11987.8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117630.44</v>
      </c>
      <c r="H642" s="104">
        <f>SUM(I461)</f>
        <v>117630.44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324.44</v>
      </c>
      <c r="H644" s="104">
        <f>H408</f>
        <v>324.44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324.44</v>
      </c>
      <c r="H646" s="104">
        <f>L408</f>
        <v>324.44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202813.37</v>
      </c>
      <c r="H647" s="104">
        <f>L208+L226+L244</f>
        <v>202813.37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54461.02</v>
      </c>
      <c r="H648" s="104">
        <f>(J257+J338)-(J255+J336)</f>
        <v>54461.020000000004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145269.79999999999</v>
      </c>
      <c r="H649" s="104">
        <f>H598</f>
        <v>145269.79999999999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57543.57</v>
      </c>
      <c r="H650" s="104">
        <f>I598</f>
        <v>57543.57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0</v>
      </c>
      <c r="H651" s="104">
        <f>J598</f>
        <v>0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3226455.83</v>
      </c>
      <c r="G660" s="19">
        <f>(L229+L309+L359)</f>
        <v>1153474.8600000001</v>
      </c>
      <c r="H660" s="19">
        <f>(L247+L328+L360)</f>
        <v>0</v>
      </c>
      <c r="I660" s="19">
        <f>SUM(F660:H660)</f>
        <v>4379930.6900000004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44082.74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44082.74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145269.79999999999</v>
      </c>
      <c r="G662" s="19">
        <f>(L226+L306)-(J226+J306)</f>
        <v>57543.57</v>
      </c>
      <c r="H662" s="19">
        <f>(L244+L325)-(J244+J325)</f>
        <v>0</v>
      </c>
      <c r="I662" s="19">
        <f>SUM(F662:H662)</f>
        <v>202813.37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140476.79</v>
      </c>
      <c r="G663" s="199">
        <f>SUM(G575:G587)+SUM(I602:I604)+L612</f>
        <v>1094303.79</v>
      </c>
      <c r="H663" s="199">
        <f>SUM(H575:H587)+SUM(J602:J604)+L613</f>
        <v>0</v>
      </c>
      <c r="I663" s="19">
        <f>SUM(F663:H663)</f>
        <v>1234780.58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2896626.5</v>
      </c>
      <c r="G664" s="19">
        <f>G660-SUM(G661:G663)</f>
        <v>1627.5</v>
      </c>
      <c r="H664" s="19">
        <f>H660-SUM(H661:H663)</f>
        <v>0</v>
      </c>
      <c r="I664" s="19">
        <f>I660-SUM(I661:I663)</f>
        <v>2898254.0000000005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195.43</v>
      </c>
      <c r="G665" s="248"/>
      <c r="H665" s="248"/>
      <c r="I665" s="19">
        <f>SUM(F665:H665)</f>
        <v>195.43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14821.81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14830.14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>
        <v>-1627.5</v>
      </c>
      <c r="H669" s="18"/>
      <c r="I669" s="19">
        <f>SUM(F669:H669)</f>
        <v>-1627.5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14821.81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14821.81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F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2015-2016
</oddHead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workbookViewId="0">
      <selection activeCell="D38" sqref="D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Mont Vernon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8" t="s">
        <v>784</v>
      </c>
      <c r="B3" s="278"/>
      <c r="C3" s="278"/>
    </row>
    <row r="4" spans="1:3" x14ac:dyDescent="0.2">
      <c r="A4" s="236"/>
      <c r="B4" s="237" t="str">
        <f>'DOE25'!H1</f>
        <v>DOE 25  2015-2016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783</v>
      </c>
      <c r="C6" s="277"/>
    </row>
    <row r="7" spans="1:3" x14ac:dyDescent="0.2">
      <c r="A7" s="239" t="s">
        <v>786</v>
      </c>
      <c r="B7" s="275" t="s">
        <v>782</v>
      </c>
      <c r="C7" s="276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889395.33</v>
      </c>
      <c r="C9" s="229">
        <f>'DOE25'!G197+'DOE25'!G215+'DOE25'!G233+'DOE25'!G276+'DOE25'!G295+'DOE25'!G314</f>
        <v>341168.06</v>
      </c>
    </row>
    <row r="10" spans="1:3" x14ac:dyDescent="0.2">
      <c r="A10" t="s">
        <v>779</v>
      </c>
      <c r="B10" s="240">
        <v>869441.83</v>
      </c>
      <c r="C10" s="240">
        <f>(B10/$B$9)*$C$9</f>
        <v>333513.98688359407</v>
      </c>
    </row>
    <row r="11" spans="1:3" x14ac:dyDescent="0.2">
      <c r="A11" t="s">
        <v>780</v>
      </c>
      <c r="B11" s="240">
        <v>4300</v>
      </c>
      <c r="C11" s="240">
        <f>(B11/$B$9)*$C$9</f>
        <v>1649.4607161924273</v>
      </c>
    </row>
    <row r="12" spans="1:3" x14ac:dyDescent="0.2">
      <c r="A12" t="s">
        <v>781</v>
      </c>
      <c r="B12" s="240">
        <v>15653.5</v>
      </c>
      <c r="C12" s="240">
        <f>(B12/$B$9)*$C$9</f>
        <v>6004.6124002135248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889395.33</v>
      </c>
      <c r="C13" s="231">
        <f>SUM(C10:C12)</f>
        <v>341168.06000000006</v>
      </c>
    </row>
    <row r="14" spans="1:3" x14ac:dyDescent="0.2">
      <c r="B14" s="230"/>
      <c r="C14" s="230"/>
    </row>
    <row r="15" spans="1:3" x14ac:dyDescent="0.2">
      <c r="B15" s="277" t="s">
        <v>783</v>
      </c>
      <c r="C15" s="277"/>
    </row>
    <row r="16" spans="1:3" x14ac:dyDescent="0.2">
      <c r="A16" s="239" t="s">
        <v>787</v>
      </c>
      <c r="B16" s="275" t="s">
        <v>707</v>
      </c>
      <c r="C16" s="276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213300.72</v>
      </c>
      <c r="C18" s="229">
        <f>'DOE25'!G198+'DOE25'!G216+'DOE25'!G234+'DOE25'!G277+'DOE25'!G296+'DOE25'!G315</f>
        <v>74845.75</v>
      </c>
    </row>
    <row r="19" spans="1:3" x14ac:dyDescent="0.2">
      <c r="A19" t="s">
        <v>779</v>
      </c>
      <c r="B19" s="240">
        <v>77813.25</v>
      </c>
      <c r="C19" s="240">
        <f>(B19/$B$18)*$C$18</f>
        <v>27304.13219508823</v>
      </c>
    </row>
    <row r="20" spans="1:3" x14ac:dyDescent="0.2">
      <c r="A20" t="s">
        <v>780</v>
      </c>
      <c r="B20" s="240">
        <v>106473.15</v>
      </c>
      <c r="C20" s="240">
        <f t="shared" ref="C20:C21" si="0">(B20/$B$18)*$C$18</f>
        <v>37360.693234474311</v>
      </c>
    </row>
    <row r="21" spans="1:3" x14ac:dyDescent="0.2">
      <c r="A21" t="s">
        <v>781</v>
      </c>
      <c r="B21" s="240">
        <v>29014.32</v>
      </c>
      <c r="C21" s="240">
        <f t="shared" si="0"/>
        <v>10180.924570437457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213300.72</v>
      </c>
      <c r="C22" s="231">
        <f>SUM(C19:C21)</f>
        <v>74845.75</v>
      </c>
    </row>
    <row r="23" spans="1:3" x14ac:dyDescent="0.2">
      <c r="B23" s="230"/>
      <c r="C23" s="230"/>
    </row>
    <row r="24" spans="1:3" x14ac:dyDescent="0.2">
      <c r="B24" s="277" t="s">
        <v>783</v>
      </c>
      <c r="C24" s="277"/>
    </row>
    <row r="25" spans="1:3" x14ac:dyDescent="0.2">
      <c r="A25" s="239" t="s">
        <v>788</v>
      </c>
      <c r="B25" s="275" t="s">
        <v>708</v>
      </c>
      <c r="C25" s="276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>
        <v>0</v>
      </c>
      <c r="C28" s="240">
        <v>0</v>
      </c>
    </row>
    <row r="29" spans="1:3" x14ac:dyDescent="0.2">
      <c r="A29" t="s">
        <v>780</v>
      </c>
      <c r="B29" s="240">
        <v>0</v>
      </c>
      <c r="C29" s="240">
        <v>0</v>
      </c>
    </row>
    <row r="30" spans="1:3" x14ac:dyDescent="0.2">
      <c r="A30" t="s">
        <v>781</v>
      </c>
      <c r="B30" s="240">
        <v>0</v>
      </c>
      <c r="C30" s="240">
        <v>0</v>
      </c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783</v>
      </c>
      <c r="C33" s="277"/>
    </row>
    <row r="34" spans="1:3" x14ac:dyDescent="0.2">
      <c r="A34" s="239" t="s">
        <v>789</v>
      </c>
      <c r="B34" s="275" t="s">
        <v>709</v>
      </c>
      <c r="C34" s="276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11668.88</v>
      </c>
      <c r="C36" s="235">
        <f>'DOE25'!G200+'DOE25'!G218+'DOE25'!G236+'DOE25'!G279+'DOE25'!G298+'DOE25'!G317</f>
        <v>1660.44</v>
      </c>
    </row>
    <row r="37" spans="1:3" x14ac:dyDescent="0.2">
      <c r="A37" t="s">
        <v>779</v>
      </c>
      <c r="B37" s="240">
        <v>8864</v>
      </c>
      <c r="C37" s="240">
        <f>(B37/$B$36)*$C$36</f>
        <v>1261.3155812725815</v>
      </c>
    </row>
    <row r="38" spans="1:3" x14ac:dyDescent="0.2">
      <c r="A38" t="s">
        <v>780</v>
      </c>
      <c r="B38" s="240">
        <v>624.88</v>
      </c>
      <c r="C38" s="240">
        <f t="shared" ref="C38:C39" si="1">(B38/$B$36)*$C$36</f>
        <v>88.918194993864034</v>
      </c>
    </row>
    <row r="39" spans="1:3" x14ac:dyDescent="0.2">
      <c r="A39" t="s">
        <v>781</v>
      </c>
      <c r="B39" s="240">
        <v>2180</v>
      </c>
      <c r="C39" s="240">
        <f t="shared" si="1"/>
        <v>310.20622373355457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11668.88</v>
      </c>
      <c r="C40" s="231">
        <f>SUM(C37:C39)</f>
        <v>1660.44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H34" sqref="H34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790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717</v>
      </c>
      <c r="B2" s="265" t="str">
        <f>'DOE25'!A2</f>
        <v>Mont Vernon School District</v>
      </c>
      <c r="C2" s="181"/>
      <c r="D2" s="181" t="s">
        <v>792</v>
      </c>
      <c r="E2" s="181" t="s">
        <v>794</v>
      </c>
      <c r="F2" s="279" t="s">
        <v>821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2806321.33</v>
      </c>
      <c r="D5" s="20">
        <f>SUM('DOE25'!L197:L200)+SUM('DOE25'!L215:L218)+SUM('DOE25'!L233:L236)-F5-G5</f>
        <v>2773755.5300000003</v>
      </c>
      <c r="E5" s="243"/>
      <c r="F5" s="255">
        <f>SUM('DOE25'!J197:J200)+SUM('DOE25'!J215:J218)+SUM('DOE25'!J233:J236)</f>
        <v>32172.3</v>
      </c>
      <c r="G5" s="53">
        <f>SUM('DOE25'!K197:K200)+SUM('DOE25'!K215:K218)+SUM('DOE25'!K233:K236)</f>
        <v>393.5</v>
      </c>
      <c r="H5" s="259"/>
    </row>
    <row r="6" spans="1:9" x14ac:dyDescent="0.2">
      <c r="A6" s="32">
        <v>2100</v>
      </c>
      <c r="B6" t="s">
        <v>801</v>
      </c>
      <c r="C6" s="245">
        <f t="shared" si="0"/>
        <v>379497.26</v>
      </c>
      <c r="D6" s="20">
        <f>'DOE25'!L202+'DOE25'!L220+'DOE25'!L238-F6-G6</f>
        <v>379328.26</v>
      </c>
      <c r="E6" s="243"/>
      <c r="F6" s="255">
        <f>'DOE25'!J202+'DOE25'!J220+'DOE25'!J238</f>
        <v>0</v>
      </c>
      <c r="G6" s="53">
        <f>'DOE25'!K202+'DOE25'!K220+'DOE25'!K238</f>
        <v>169</v>
      </c>
      <c r="H6" s="259"/>
    </row>
    <row r="7" spans="1:9" x14ac:dyDescent="0.2">
      <c r="A7" s="32">
        <v>2200</v>
      </c>
      <c r="B7" t="s">
        <v>834</v>
      </c>
      <c r="C7" s="245">
        <f t="shared" si="0"/>
        <v>102647.13</v>
      </c>
      <c r="D7" s="20">
        <f>'DOE25'!L203+'DOE25'!L221+'DOE25'!L239-F7-G7</f>
        <v>102647.13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207168.41</v>
      </c>
      <c r="D8" s="243"/>
      <c r="E8" s="20">
        <f>'DOE25'!L204+'DOE25'!L222+'DOE25'!L240-F8-G8-D9-D11</f>
        <v>204162.80000000002</v>
      </c>
      <c r="F8" s="255">
        <f>'DOE25'!J204+'DOE25'!J222+'DOE25'!J240</f>
        <v>0</v>
      </c>
      <c r="G8" s="53">
        <f>'DOE25'!K204+'DOE25'!K222+'DOE25'!K240</f>
        <v>3005.61</v>
      </c>
      <c r="H8" s="259"/>
    </row>
    <row r="9" spans="1:9" x14ac:dyDescent="0.2">
      <c r="A9" s="32">
        <v>2310</v>
      </c>
      <c r="B9" t="s">
        <v>818</v>
      </c>
      <c r="C9" s="245">
        <f t="shared" si="0"/>
        <v>0</v>
      </c>
      <c r="D9" s="244"/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0</v>
      </c>
      <c r="D10" s="243"/>
      <c r="E10" s="244"/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0</v>
      </c>
      <c r="D11" s="244"/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214221.95</v>
      </c>
      <c r="D12" s="20">
        <f>'DOE25'!L205+'DOE25'!L223+'DOE25'!L241-F12-G12</f>
        <v>212540.45</v>
      </c>
      <c r="E12" s="243"/>
      <c r="F12" s="255">
        <f>'DOE25'!J205+'DOE25'!J223+'DOE25'!J241</f>
        <v>827.5</v>
      </c>
      <c r="G12" s="53">
        <f>'DOE25'!K205+'DOE25'!K223+'DOE25'!K241</f>
        <v>854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292338.06000000006</v>
      </c>
      <c r="D14" s="20">
        <f>'DOE25'!L207+'DOE25'!L225+'DOE25'!L243-F14-G14</f>
        <v>290033.30000000005</v>
      </c>
      <c r="E14" s="243"/>
      <c r="F14" s="255">
        <f>'DOE25'!J207+'DOE25'!J225+'DOE25'!J243</f>
        <v>2304.7600000000002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202813.37</v>
      </c>
      <c r="D15" s="20">
        <f>'DOE25'!L208+'DOE25'!L226+'DOE25'!L244-F15-G15</f>
        <v>202813.37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38472.42</v>
      </c>
      <c r="D16" s="243"/>
      <c r="E16" s="20">
        <f>'DOE25'!L209+'DOE25'!L227+'DOE25'!L245-F16-G16</f>
        <v>19315.96</v>
      </c>
      <c r="F16" s="255">
        <f>'DOE25'!J209+'DOE25'!J227+'DOE25'!J245</f>
        <v>19156.46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37378.479999999996</v>
      </c>
      <c r="D29" s="20">
        <f>'DOE25'!L358+'DOE25'!L359+'DOE25'!L360-'DOE25'!I367-F29-G29</f>
        <v>34291.189999999995</v>
      </c>
      <c r="E29" s="243"/>
      <c r="F29" s="255">
        <f>'DOE25'!J358+'DOE25'!J359+'DOE25'!J360</f>
        <v>3028</v>
      </c>
      <c r="G29" s="53">
        <f>'DOE25'!K358+'DOE25'!K359+'DOE25'!K360</f>
        <v>59.29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75752.97</v>
      </c>
      <c r="D31" s="20">
        <f>'DOE25'!L290+'DOE25'!L309+'DOE25'!L328+'DOE25'!L333+'DOE25'!L334+'DOE25'!L335-F31-G31</f>
        <v>75752.97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4071162.2</v>
      </c>
      <c r="E33" s="246">
        <f>SUM(E5:E31)</f>
        <v>223478.76</v>
      </c>
      <c r="F33" s="246">
        <f>SUM(F5:F31)</f>
        <v>57489.020000000004</v>
      </c>
      <c r="G33" s="246">
        <f>SUM(G5:G31)</f>
        <v>4481.4000000000005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223478.76</v>
      </c>
      <c r="E35" s="249"/>
    </row>
    <row r="36" spans="2:8" ht="12" thickTop="1" x14ac:dyDescent="0.2">
      <c r="B36" t="s">
        <v>815</v>
      </c>
      <c r="D36" s="20">
        <f>D33</f>
        <v>4071162.2</v>
      </c>
    </row>
    <row r="38" spans="2:8" x14ac:dyDescent="0.2">
      <c r="B38" s="187" t="s">
        <v>905</v>
      </c>
      <c r="C38" s="266"/>
      <c r="D38" s="267"/>
    </row>
    <row r="39" spans="2:8" x14ac:dyDescent="0.2">
      <c r="B39" t="s">
        <v>824</v>
      </c>
      <c r="D39" s="181" t="str">
        <f>IF(E10&gt;0,"Y","N")</f>
        <v>N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Mont Vernon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468098.02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11987.8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1890.42</v>
      </c>
      <c r="D11" s="95">
        <f>'DOE25'!G12</f>
        <v>17405.650000000001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16576.439999999999</v>
      </c>
      <c r="D12" s="95">
        <f>'DOE25'!G13</f>
        <v>2551.34</v>
      </c>
      <c r="E12" s="95">
        <f>'DOE25'!H13</f>
        <v>19306.54</v>
      </c>
      <c r="F12" s="95">
        <f>'DOE25'!I13</f>
        <v>0</v>
      </c>
      <c r="G12" s="95">
        <f>'DOE25'!J13</f>
        <v>105642.64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486564.88</v>
      </c>
      <c r="D18" s="41">
        <f>SUM(D8:D17)</f>
        <v>19956.990000000002</v>
      </c>
      <c r="E18" s="41">
        <f>SUM(E8:E17)</f>
        <v>19306.54</v>
      </c>
      <c r="F18" s="41">
        <f>SUM(F8:F17)</f>
        <v>0</v>
      </c>
      <c r="G18" s="41">
        <f>SUM(G8:G17)</f>
        <v>117630.44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19296.07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114117.37000000001</v>
      </c>
      <c r="D22" s="95">
        <f>'DOE25'!G23</f>
        <v>1191.8699999999999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42952.27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3858.02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11298.99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2779.66</v>
      </c>
      <c r="E29" s="95">
        <f>'DOE25'!H30</f>
        <v>10.47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11987.8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172226.65</v>
      </c>
      <c r="D31" s="41">
        <f>SUM(D21:D30)</f>
        <v>3971.5299999999997</v>
      </c>
      <c r="E31" s="41">
        <f>SUM(E21:E30)</f>
        <v>19306.54</v>
      </c>
      <c r="F31" s="41">
        <f>SUM(F21:F30)</f>
        <v>0</v>
      </c>
      <c r="G31" s="41">
        <f>SUM(G21:G30)</f>
        <v>11987.8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56134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15985.46</v>
      </c>
      <c r="E47" s="95">
        <f>'DOE25'!H48</f>
        <v>0</v>
      </c>
      <c r="F47" s="95">
        <f>'DOE25'!I48</f>
        <v>0</v>
      </c>
      <c r="G47" s="95">
        <f>'DOE25'!J48</f>
        <v>105642.64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258204.22999999998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314338.23</v>
      </c>
      <c r="D50" s="41">
        <f>SUM(D34:D49)</f>
        <v>15985.46</v>
      </c>
      <c r="E50" s="41">
        <f>SUM(E34:E49)</f>
        <v>0</v>
      </c>
      <c r="F50" s="41">
        <f>SUM(F34:F49)</f>
        <v>0</v>
      </c>
      <c r="G50" s="41">
        <f>SUM(G34:G49)</f>
        <v>105642.64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486564.88</v>
      </c>
      <c r="D51" s="41">
        <f>D50+D31</f>
        <v>19956.989999999998</v>
      </c>
      <c r="E51" s="41">
        <f>E50+E31</f>
        <v>19306.54</v>
      </c>
      <c r="F51" s="41">
        <f>F50+F31</f>
        <v>0</v>
      </c>
      <c r="G51" s="41">
        <f>G50+G31</f>
        <v>117630.44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3273846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353.04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324.44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44074.89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2520.3000000000002</v>
      </c>
      <c r="D61" s="95">
        <f>SUM('DOE25'!G98:G110)</f>
        <v>7.85</v>
      </c>
      <c r="E61" s="95">
        <f>SUM('DOE25'!H98:H110)</f>
        <v>500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2873.34</v>
      </c>
      <c r="D62" s="130">
        <f>SUM(D57:D61)</f>
        <v>44082.74</v>
      </c>
      <c r="E62" s="130">
        <f>SUM(E57:E61)</f>
        <v>500</v>
      </c>
      <c r="F62" s="130">
        <f>SUM(F57:F61)</f>
        <v>0</v>
      </c>
      <c r="G62" s="130">
        <f>SUM(G57:G61)</f>
        <v>324.44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3276719.34</v>
      </c>
      <c r="D63" s="22">
        <f>D56+D62</f>
        <v>44082.74</v>
      </c>
      <c r="E63" s="22">
        <f>E56+E62</f>
        <v>500</v>
      </c>
      <c r="F63" s="22">
        <f>F56+F62</f>
        <v>0</v>
      </c>
      <c r="G63" s="22">
        <f>G56+G62</f>
        <v>324.44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763805.17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353889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1117694.17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654.66999999999996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839.99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654.66999999999996</v>
      </c>
      <c r="D78" s="130">
        <f>SUM(D72:D77)</f>
        <v>839.99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1118348.8399999999</v>
      </c>
      <c r="D81" s="130">
        <f>SUM(D79:D80)+D78+D70</f>
        <v>839.99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2102.34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41209.86</v>
      </c>
      <c r="D88" s="95">
        <f>SUM('DOE25'!G153:G161)</f>
        <v>17822.12</v>
      </c>
      <c r="E88" s="95">
        <f>SUM('DOE25'!H153:H161)</f>
        <v>73150.63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41209.86</v>
      </c>
      <c r="D91" s="131">
        <f>SUM(D85:D90)</f>
        <v>17822.12</v>
      </c>
      <c r="E91" s="131">
        <f>SUM(E85:E90)</f>
        <v>75252.97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4436278.04</v>
      </c>
      <c r="D104" s="86">
        <f>D63+D81+D91+D103</f>
        <v>62744.849999999991</v>
      </c>
      <c r="E104" s="86">
        <f>E63+E81+E91+E103</f>
        <v>75752.97</v>
      </c>
      <c r="F104" s="86">
        <f>F63+F81+F91+F103</f>
        <v>0</v>
      </c>
      <c r="G104" s="86">
        <f>G63+G81+G103</f>
        <v>324.44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2392531.2000000002</v>
      </c>
      <c r="D109" s="24" t="s">
        <v>289</v>
      </c>
      <c r="E109" s="95">
        <f>('DOE25'!L276)+('DOE25'!L295)+('DOE25'!L314)</f>
        <v>14712.939999999999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400078.50000000006</v>
      </c>
      <c r="D110" s="24" t="s">
        <v>289</v>
      </c>
      <c r="E110" s="95">
        <f>('DOE25'!L277)+('DOE25'!L296)+('DOE25'!L315)</f>
        <v>47613.360000000008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13711.63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2806321.33</v>
      </c>
      <c r="D115" s="86">
        <f>SUM(D109:D114)</f>
        <v>0</v>
      </c>
      <c r="E115" s="86">
        <f>SUM(E109:E114)</f>
        <v>62326.3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379497.26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102647.13</v>
      </c>
      <c r="D119" s="24" t="s">
        <v>289</v>
      </c>
      <c r="E119" s="95">
        <f>+('DOE25'!L282)+('DOE25'!L301)+('DOE25'!L320)</f>
        <v>11771.09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207168.41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214221.95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292338.06000000006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202813.37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38472.42</v>
      </c>
      <c r="D125" s="24" t="s">
        <v>289</v>
      </c>
      <c r="E125" s="95">
        <f>+('DOE25'!L288)+('DOE25'!L307)+('DOE25'!L326)</f>
        <v>1655.58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60697.79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1437158.6</v>
      </c>
      <c r="D128" s="86">
        <f>SUM(D118:D127)</f>
        <v>60697.79</v>
      </c>
      <c r="E128" s="86">
        <f>SUM(E118:E127)</f>
        <v>13426.67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324.44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-324.44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0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4243479.93</v>
      </c>
      <c r="D145" s="86">
        <f>(D115+D128+D144)</f>
        <v>60697.79</v>
      </c>
      <c r="E145" s="86">
        <f>(E115+E128+E144)</f>
        <v>75752.97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2015-2016</oddHead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J18" sqref="J18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740</v>
      </c>
      <c r="B1" s="283"/>
      <c r="C1" s="283"/>
      <c r="D1" s="283"/>
    </row>
    <row r="2" spans="1:4" x14ac:dyDescent="0.2">
      <c r="A2" s="187" t="s">
        <v>717</v>
      </c>
      <c r="B2" s="186" t="str">
        <f>'DOE25'!A2</f>
        <v>Mont Vernon School District</v>
      </c>
    </row>
    <row r="3" spans="1:4" x14ac:dyDescent="0.2">
      <c r="B3" s="188" t="s">
        <v>902</v>
      </c>
    </row>
    <row r="4" spans="1:4" x14ac:dyDescent="0.2">
      <c r="B4" t="s">
        <v>61</v>
      </c>
      <c r="C4" s="179">
        <f>IF('DOE25'!F665+'DOE25'!F670=0,0,ROUND('DOE25'!F672,0))</f>
        <v>14822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14822</v>
      </c>
    </row>
    <row r="9" spans="1:4" x14ac:dyDescent="0.2">
      <c r="A9" s="187" t="s">
        <v>94</v>
      </c>
      <c r="B9" s="188" t="s">
        <v>903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2407244</v>
      </c>
      <c r="D10" s="182">
        <f>ROUND((C10/$C$28)*100,1)</f>
        <v>55.5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447692</v>
      </c>
      <c r="D11" s="182">
        <f>ROUND((C11/$C$28)*100,1)</f>
        <v>10.3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13712</v>
      </c>
      <c r="D13" s="182">
        <f>ROUND((C13/$C$28)*100,1)</f>
        <v>0.3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379497</v>
      </c>
      <c r="D15" s="182">
        <f t="shared" ref="D15:D27" si="0">ROUND((C15/$C$28)*100,1)</f>
        <v>8.8000000000000007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114418</v>
      </c>
      <c r="D16" s="182">
        <f t="shared" si="0"/>
        <v>2.6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247296</v>
      </c>
      <c r="D17" s="182">
        <f t="shared" si="0"/>
        <v>5.7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214222</v>
      </c>
      <c r="D18" s="182">
        <f t="shared" si="0"/>
        <v>4.9000000000000004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292338</v>
      </c>
      <c r="D20" s="182">
        <f t="shared" si="0"/>
        <v>6.7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202813</v>
      </c>
      <c r="D21" s="182">
        <f t="shared" si="0"/>
        <v>4.7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16615.260000000002</v>
      </c>
      <c r="D27" s="182">
        <f t="shared" si="0"/>
        <v>0.4</v>
      </c>
    </row>
    <row r="28" spans="1:4" x14ac:dyDescent="0.2">
      <c r="B28" s="187" t="s">
        <v>723</v>
      </c>
      <c r="C28" s="180">
        <f>SUM(C10:C27)</f>
        <v>4335847.26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4335847.26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904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3273846</v>
      </c>
      <c r="D35" s="182">
        <f t="shared" ref="D35:D40" si="1">ROUND((C35/$C$41)*100,1)</f>
        <v>72.3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3697.7799999997951</v>
      </c>
      <c r="D36" s="182">
        <f t="shared" si="1"/>
        <v>0.1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1117694</v>
      </c>
      <c r="D37" s="182">
        <f t="shared" si="1"/>
        <v>24.7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1495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134285</v>
      </c>
      <c r="D39" s="182">
        <f t="shared" si="1"/>
        <v>3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4531017.7799999993</v>
      </c>
      <c r="D41" s="184">
        <f>SUM(D35:D40)</f>
        <v>100.1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770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767</v>
      </c>
      <c r="B2" s="295"/>
      <c r="C2" s="295"/>
      <c r="D2" s="295"/>
      <c r="E2" s="295"/>
      <c r="F2" s="292" t="str">
        <f>'DOE25'!A2</f>
        <v>Mont Vernon School District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0" t="s">
        <v>771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848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2016-11-02T17:11:46Z</cp:lastPrinted>
  <dcterms:created xsi:type="dcterms:W3CDTF">1997-12-04T19:04:30Z</dcterms:created>
  <dcterms:modified xsi:type="dcterms:W3CDTF">2016-11-02T17:25:50Z</dcterms:modified>
</cp:coreProperties>
</file>