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D11" i="13" l="1"/>
  <c r="J472" i="1" l="1"/>
  <c r="J468" i="1"/>
  <c r="G459" i="1"/>
  <c r="G440" i="1"/>
  <c r="H426" i="1"/>
  <c r="H400" i="1"/>
  <c r="J96" i="1"/>
  <c r="G613" i="1"/>
  <c r="G612" i="1"/>
  <c r="F612" i="1"/>
  <c r="F613" i="1"/>
  <c r="G611" i="1"/>
  <c r="J604" i="1"/>
  <c r="I604" i="1"/>
  <c r="H604" i="1"/>
  <c r="J595" i="1"/>
  <c r="I595" i="1"/>
  <c r="H595" i="1"/>
  <c r="G563" i="1"/>
  <c r="H244" i="1"/>
  <c r="H234" i="1"/>
  <c r="H226" i="1"/>
  <c r="H216" i="1"/>
  <c r="H208" i="1"/>
  <c r="H198" i="1"/>
  <c r="G532" i="1"/>
  <c r="G533" i="1"/>
  <c r="G531" i="1"/>
  <c r="F532" i="1"/>
  <c r="F533" i="1"/>
  <c r="F531" i="1"/>
  <c r="F499" i="1" l="1"/>
  <c r="F498" i="1"/>
  <c r="H359" i="1"/>
  <c r="H360" i="1"/>
  <c r="H358" i="1"/>
  <c r="H301" i="1"/>
  <c r="G277" i="1"/>
  <c r="F277" i="1"/>
  <c r="H282" i="1"/>
  <c r="G276" i="1"/>
  <c r="F276" i="1"/>
  <c r="G225" i="1"/>
  <c r="J239" i="1"/>
  <c r="J221" i="1"/>
  <c r="J203" i="1"/>
  <c r="K218" i="1"/>
  <c r="F202" i="1"/>
  <c r="I198" i="1"/>
  <c r="K240" i="1" l="1"/>
  <c r="K222" i="1"/>
  <c r="K204" i="1"/>
  <c r="K239" i="1"/>
  <c r="K221" i="1"/>
  <c r="K236" i="1"/>
  <c r="I234" i="1"/>
  <c r="I216" i="1"/>
  <c r="H236" i="1"/>
  <c r="G236" i="1"/>
  <c r="F236" i="1"/>
  <c r="G218" i="1"/>
  <c r="F218" i="1"/>
  <c r="H159" i="1" l="1"/>
  <c r="E88" i="2" s="1"/>
  <c r="H155" i="1"/>
  <c r="G158" i="1"/>
  <c r="G162" i="1" s="1"/>
  <c r="G132" i="1"/>
  <c r="C45" i="2"/>
  <c r="G51" i="1"/>
  <c r="F51" i="1"/>
  <c r="G622" i="1" s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F18" i="13"/>
  <c r="G18" i="13"/>
  <c r="L252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E132" i="2" s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79" i="1"/>
  <c r="C57" i="2" s="1"/>
  <c r="F94" i="1"/>
  <c r="F111" i="1"/>
  <c r="G111" i="1"/>
  <c r="H79" i="1"/>
  <c r="E57" i="2" s="1"/>
  <c r="H94" i="1"/>
  <c r="E58" i="2" s="1"/>
  <c r="H111" i="1"/>
  <c r="I111" i="1"/>
  <c r="J111" i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D85" i="2" s="1"/>
  <c r="H147" i="1"/>
  <c r="E85" i="2" s="1"/>
  <c r="I147" i="1"/>
  <c r="F85" i="2" s="1"/>
  <c r="I162" i="1"/>
  <c r="L250" i="1"/>
  <c r="L332" i="1"/>
  <c r="E113" i="2" s="1"/>
  <c r="L254" i="1"/>
  <c r="L268" i="1"/>
  <c r="C142" i="2" s="1"/>
  <c r="L269" i="1"/>
  <c r="L349" i="1"/>
  <c r="E142" i="2" s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G16" i="2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E50" i="2" s="1"/>
  <c r="F34" i="2"/>
  <c r="C35" i="2"/>
  <c r="D35" i="2"/>
  <c r="E35" i="2"/>
  <c r="F35" i="2"/>
  <c r="I454" i="1"/>
  <c r="J49" i="1" s="1"/>
  <c r="G48" i="2" s="1"/>
  <c r="I456" i="1"/>
  <c r="I457" i="1"/>
  <c r="J37" i="1" s="1"/>
  <c r="G36" i="2" s="1"/>
  <c r="I459" i="1"/>
  <c r="J48" i="1" s="1"/>
  <c r="G47" i="2" s="1"/>
  <c r="C49" i="2"/>
  <c r="D56" i="2"/>
  <c r="F56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7" i="2"/>
  <c r="E87" i="2"/>
  <c r="F87" i="2"/>
  <c r="C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2" i="2"/>
  <c r="C113" i="2"/>
  <c r="E114" i="2"/>
  <c r="D115" i="2"/>
  <c r="F115" i="2"/>
  <c r="G115" i="2"/>
  <c r="E118" i="2"/>
  <c r="E120" i="2"/>
  <c r="E121" i="2"/>
  <c r="E124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G32" i="1"/>
  <c r="G52" i="1" s="1"/>
  <c r="H618" i="1" s="1"/>
  <c r="H32" i="1"/>
  <c r="I32" i="1"/>
  <c r="H51" i="1"/>
  <c r="H52" i="1" s="1"/>
  <c r="H619" i="1" s="1"/>
  <c r="I51" i="1"/>
  <c r="F177" i="1"/>
  <c r="I177" i="1"/>
  <c r="F183" i="1"/>
  <c r="G183" i="1"/>
  <c r="H183" i="1"/>
  <c r="H192" i="1" s="1"/>
  <c r="I183" i="1"/>
  <c r="J183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I434" i="1" s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H461" i="1" s="1"/>
  <c r="H641" i="1" s="1"/>
  <c r="J641" i="1" s="1"/>
  <c r="F460" i="1"/>
  <c r="G460" i="1"/>
  <c r="G461" i="1" s="1"/>
  <c r="H640" i="1" s="1"/>
  <c r="H460" i="1"/>
  <c r="F470" i="1"/>
  <c r="G470" i="1"/>
  <c r="H470" i="1"/>
  <c r="I470" i="1"/>
  <c r="J470" i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0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G644" i="1"/>
  <c r="G649" i="1"/>
  <c r="G650" i="1"/>
  <c r="G652" i="1"/>
  <c r="H652" i="1"/>
  <c r="G653" i="1"/>
  <c r="H653" i="1"/>
  <c r="G654" i="1"/>
  <c r="H654" i="1"/>
  <c r="H655" i="1"/>
  <c r="L328" i="1"/>
  <c r="L427" i="1"/>
  <c r="I169" i="1"/>
  <c r="F169" i="1"/>
  <c r="H140" i="1"/>
  <c r="C23" i="10"/>
  <c r="I192" i="1"/>
  <c r="F31" i="13"/>
  <c r="G140" i="1"/>
  <c r="H434" i="1"/>
  <c r="I140" i="1"/>
  <c r="G434" i="1"/>
  <c r="A22" i="12" l="1"/>
  <c r="L614" i="1"/>
  <c r="L534" i="1"/>
  <c r="I408" i="1"/>
  <c r="K503" i="1"/>
  <c r="F461" i="1"/>
  <c r="H639" i="1" s="1"/>
  <c r="F434" i="1"/>
  <c r="H408" i="1"/>
  <c r="H644" i="1" s="1"/>
  <c r="J644" i="1" s="1"/>
  <c r="G408" i="1"/>
  <c r="H645" i="1" s="1"/>
  <c r="G192" i="1"/>
  <c r="I663" i="1"/>
  <c r="I552" i="1"/>
  <c r="J654" i="1"/>
  <c r="K605" i="1"/>
  <c r="G648" i="1" s="1"/>
  <c r="J571" i="1"/>
  <c r="G476" i="1"/>
  <c r="H623" i="1" s="1"/>
  <c r="F338" i="1"/>
  <c r="F352" i="1" s="1"/>
  <c r="J653" i="1"/>
  <c r="F408" i="1"/>
  <c r="H643" i="1" s="1"/>
  <c r="J643" i="1" s="1"/>
  <c r="I52" i="1"/>
  <c r="H620" i="1" s="1"/>
  <c r="J620" i="1" s="1"/>
  <c r="G112" i="1"/>
  <c r="J619" i="1"/>
  <c r="J552" i="1"/>
  <c r="J655" i="1"/>
  <c r="L407" i="1"/>
  <c r="C140" i="2" s="1"/>
  <c r="L401" i="1"/>
  <c r="C139" i="2" s="1"/>
  <c r="F22" i="13"/>
  <c r="C22" i="13" s="1"/>
  <c r="J338" i="1"/>
  <c r="J352" i="1" s="1"/>
  <c r="J652" i="1"/>
  <c r="F571" i="1"/>
  <c r="H112" i="1"/>
  <c r="D50" i="2"/>
  <c r="G161" i="2"/>
  <c r="G62" i="2"/>
  <c r="F62" i="2"/>
  <c r="F63" i="2" s="1"/>
  <c r="D103" i="2"/>
  <c r="C103" i="2"/>
  <c r="C18" i="2"/>
  <c r="F78" i="2"/>
  <c r="F81" i="2" s="1"/>
  <c r="L544" i="1"/>
  <c r="G624" i="1"/>
  <c r="J624" i="1" s="1"/>
  <c r="K598" i="1"/>
  <c r="G647" i="1" s="1"/>
  <c r="G571" i="1"/>
  <c r="L570" i="1"/>
  <c r="H571" i="1"/>
  <c r="L565" i="1"/>
  <c r="I571" i="1"/>
  <c r="I545" i="1"/>
  <c r="L529" i="1"/>
  <c r="I452" i="1"/>
  <c r="J434" i="1"/>
  <c r="G338" i="1"/>
  <c r="G352" i="1" s="1"/>
  <c r="E13" i="13"/>
  <c r="C13" i="13" s="1"/>
  <c r="E122" i="2"/>
  <c r="E109" i="2"/>
  <c r="C29" i="10"/>
  <c r="L539" i="1"/>
  <c r="I476" i="1"/>
  <c r="H625" i="1" s="1"/>
  <c r="J625" i="1" s="1"/>
  <c r="J476" i="1"/>
  <c r="H626" i="1" s="1"/>
  <c r="J639" i="1"/>
  <c r="L433" i="1"/>
  <c r="G103" i="2"/>
  <c r="J140" i="1"/>
  <c r="J640" i="1"/>
  <c r="J649" i="1"/>
  <c r="K500" i="1"/>
  <c r="L270" i="1"/>
  <c r="E111" i="2"/>
  <c r="G545" i="1"/>
  <c r="G157" i="2"/>
  <c r="A40" i="12"/>
  <c r="J545" i="1"/>
  <c r="G162" i="2"/>
  <c r="G159" i="2"/>
  <c r="C70" i="2"/>
  <c r="D62" i="2"/>
  <c r="D63" i="2" s="1"/>
  <c r="E62" i="2"/>
  <c r="E63" i="2" s="1"/>
  <c r="F31" i="2"/>
  <c r="D31" i="2"/>
  <c r="K551" i="1"/>
  <c r="L524" i="1"/>
  <c r="K550" i="1"/>
  <c r="F549" i="1"/>
  <c r="K549" i="1" s="1"/>
  <c r="F476" i="1"/>
  <c r="H622" i="1" s="1"/>
  <c r="J622" i="1" s="1"/>
  <c r="L362" i="1"/>
  <c r="C27" i="10" s="1"/>
  <c r="D127" i="2"/>
  <c r="D128" i="2" s="1"/>
  <c r="D145" i="2" s="1"/>
  <c r="H338" i="1"/>
  <c r="H352" i="1" s="1"/>
  <c r="F661" i="1"/>
  <c r="G661" i="1"/>
  <c r="L251" i="1"/>
  <c r="D18" i="13"/>
  <c r="C18" i="13" s="1"/>
  <c r="E8" i="13"/>
  <c r="C8" i="13" s="1"/>
  <c r="C118" i="2"/>
  <c r="C12" i="10"/>
  <c r="F18" i="2"/>
  <c r="F103" i="2"/>
  <c r="C91" i="2"/>
  <c r="F91" i="2"/>
  <c r="D14" i="13"/>
  <c r="C14" i="13" s="1"/>
  <c r="D81" i="2"/>
  <c r="C31" i="2"/>
  <c r="C111" i="2"/>
  <c r="G651" i="1"/>
  <c r="J651" i="1" s="1"/>
  <c r="C124" i="2"/>
  <c r="F662" i="1"/>
  <c r="D15" i="13"/>
  <c r="C15" i="13" s="1"/>
  <c r="D12" i="13"/>
  <c r="C12" i="13" s="1"/>
  <c r="C109" i="2"/>
  <c r="C10" i="10"/>
  <c r="C13" i="10"/>
  <c r="D5" i="13"/>
  <c r="C5" i="13" s="1"/>
  <c r="E103" i="2"/>
  <c r="J650" i="1"/>
  <c r="L419" i="1"/>
  <c r="I338" i="1"/>
  <c r="I352" i="1" s="1"/>
  <c r="G164" i="2"/>
  <c r="G158" i="2"/>
  <c r="G552" i="1"/>
  <c r="L382" i="1"/>
  <c r="G636" i="1" s="1"/>
  <c r="J636" i="1" s="1"/>
  <c r="F130" i="2"/>
  <c r="F144" i="2" s="1"/>
  <c r="F145" i="2" s="1"/>
  <c r="C143" i="2"/>
  <c r="C26" i="10"/>
  <c r="J192" i="1"/>
  <c r="G645" i="1"/>
  <c r="J645" i="1" s="1"/>
  <c r="E81" i="2"/>
  <c r="L337" i="1"/>
  <c r="H257" i="1"/>
  <c r="H271" i="1" s="1"/>
  <c r="G163" i="2"/>
  <c r="G160" i="2"/>
  <c r="G156" i="2"/>
  <c r="J10" i="1"/>
  <c r="I446" i="1"/>
  <c r="G642" i="1" s="1"/>
  <c r="I112" i="1"/>
  <c r="I193" i="1" s="1"/>
  <c r="G630" i="1" s="1"/>
  <c r="J630" i="1" s="1"/>
  <c r="G56" i="2"/>
  <c r="J112" i="1"/>
  <c r="J193" i="1" s="1"/>
  <c r="L393" i="1"/>
  <c r="C32" i="10"/>
  <c r="H25" i="13"/>
  <c r="E131" i="2"/>
  <c r="E144" i="2" s="1"/>
  <c r="L351" i="1"/>
  <c r="L309" i="1"/>
  <c r="E123" i="2"/>
  <c r="E119" i="2"/>
  <c r="E110" i="2"/>
  <c r="E115" i="2" s="1"/>
  <c r="L290" i="1"/>
  <c r="C11" i="10"/>
  <c r="K338" i="1"/>
  <c r="K352" i="1" s="1"/>
  <c r="G31" i="13"/>
  <c r="I369" i="1"/>
  <c r="H634" i="1" s="1"/>
  <c r="J634" i="1" s="1"/>
  <c r="D29" i="13"/>
  <c r="C29" i="13" s="1"/>
  <c r="G662" i="1"/>
  <c r="H647" i="1"/>
  <c r="C112" i="2"/>
  <c r="C125" i="2"/>
  <c r="E16" i="13"/>
  <c r="C16" i="13" s="1"/>
  <c r="C19" i="10"/>
  <c r="C122" i="2"/>
  <c r="K545" i="1"/>
  <c r="J43" i="1"/>
  <c r="I460" i="1"/>
  <c r="I461" i="1" s="1"/>
  <c r="H642" i="1" s="1"/>
  <c r="J32" i="1"/>
  <c r="G21" i="2"/>
  <c r="G31" i="2" s="1"/>
  <c r="K571" i="1"/>
  <c r="L560" i="1"/>
  <c r="F545" i="1"/>
  <c r="F192" i="1"/>
  <c r="K434" i="1"/>
  <c r="G134" i="2" s="1"/>
  <c r="G144" i="2" s="1"/>
  <c r="G145" i="2" s="1"/>
  <c r="G81" i="2"/>
  <c r="F50" i="2"/>
  <c r="E31" i="2"/>
  <c r="E51" i="2" s="1"/>
  <c r="H552" i="1"/>
  <c r="C21" i="10"/>
  <c r="J623" i="1"/>
  <c r="C78" i="2"/>
  <c r="D18" i="2"/>
  <c r="H162" i="1"/>
  <c r="H169" i="1" s="1"/>
  <c r="H193" i="1" s="1"/>
  <c r="G629" i="1" s="1"/>
  <c r="J629" i="1" s="1"/>
  <c r="A13" i="12"/>
  <c r="A31" i="12"/>
  <c r="L211" i="1"/>
  <c r="C17" i="10"/>
  <c r="G169" i="1"/>
  <c r="E18" i="2"/>
  <c r="F140" i="1"/>
  <c r="C38" i="10" s="1"/>
  <c r="C119" i="2"/>
  <c r="D6" i="13"/>
  <c r="C6" i="13" s="1"/>
  <c r="E91" i="2"/>
  <c r="C121" i="2"/>
  <c r="D7" i="13"/>
  <c r="C7" i="13" s="1"/>
  <c r="C16" i="10"/>
  <c r="C20" i="10"/>
  <c r="C123" i="2"/>
  <c r="C18" i="10"/>
  <c r="L229" i="1"/>
  <c r="C120" i="2"/>
  <c r="C15" i="10"/>
  <c r="G257" i="1"/>
  <c r="G271" i="1" s="1"/>
  <c r="L247" i="1"/>
  <c r="H660" i="1" s="1"/>
  <c r="H664" i="1" s="1"/>
  <c r="F257" i="1"/>
  <c r="F271" i="1" s="1"/>
  <c r="D88" i="2"/>
  <c r="D91" i="2" s="1"/>
  <c r="C62" i="2"/>
  <c r="C63" i="2" s="1"/>
  <c r="F112" i="1"/>
  <c r="C35" i="10"/>
  <c r="J618" i="1"/>
  <c r="C50" i="2"/>
  <c r="F52" i="1"/>
  <c r="H617" i="1" s="1"/>
  <c r="J647" i="1" l="1"/>
  <c r="L571" i="1"/>
  <c r="C39" i="10"/>
  <c r="D51" i="2"/>
  <c r="L434" i="1"/>
  <c r="G638" i="1" s="1"/>
  <c r="J638" i="1" s="1"/>
  <c r="G193" i="1"/>
  <c r="G628" i="1" s="1"/>
  <c r="J628" i="1" s="1"/>
  <c r="G63" i="2"/>
  <c r="F104" i="2"/>
  <c r="F193" i="1"/>
  <c r="G627" i="1" s="1"/>
  <c r="J627" i="1" s="1"/>
  <c r="L545" i="1"/>
  <c r="E104" i="2"/>
  <c r="C51" i="2"/>
  <c r="F51" i="2"/>
  <c r="C81" i="2"/>
  <c r="K552" i="1"/>
  <c r="F552" i="1"/>
  <c r="G635" i="1"/>
  <c r="J635" i="1" s="1"/>
  <c r="I661" i="1"/>
  <c r="G660" i="1"/>
  <c r="G664" i="1" s="1"/>
  <c r="G667" i="1" s="1"/>
  <c r="F660" i="1"/>
  <c r="F664" i="1" s="1"/>
  <c r="F672" i="1" s="1"/>
  <c r="C4" i="10" s="1"/>
  <c r="F17" i="13"/>
  <c r="G19" i="13"/>
  <c r="G17" i="13"/>
  <c r="F19" i="13"/>
  <c r="E33" i="13"/>
  <c r="D35" i="13" s="1"/>
  <c r="D104" i="2"/>
  <c r="G104" i="2"/>
  <c r="I662" i="1"/>
  <c r="E128" i="2"/>
  <c r="E145" i="2" s="1"/>
  <c r="G631" i="1"/>
  <c r="J631" i="1" s="1"/>
  <c r="G646" i="1"/>
  <c r="G9" i="2"/>
  <c r="G18" i="2" s="1"/>
  <c r="J19" i="1"/>
  <c r="G621" i="1" s="1"/>
  <c r="C104" i="2"/>
  <c r="J51" i="1"/>
  <c r="G42" i="2"/>
  <c r="G50" i="2" s="1"/>
  <c r="G51" i="2" s="1"/>
  <c r="L338" i="1"/>
  <c r="L352" i="1" s="1"/>
  <c r="G633" i="1" s="1"/>
  <c r="J633" i="1" s="1"/>
  <c r="D31" i="13"/>
  <c r="C31" i="13" s="1"/>
  <c r="C25" i="13"/>
  <c r="H33" i="13"/>
  <c r="L408" i="1"/>
  <c r="C138" i="2"/>
  <c r="J642" i="1"/>
  <c r="C128" i="2"/>
  <c r="H667" i="1"/>
  <c r="H672" i="1"/>
  <c r="C6" i="10" s="1"/>
  <c r="C36" i="10"/>
  <c r="J617" i="1"/>
  <c r="F667" i="1" l="1"/>
  <c r="G672" i="1"/>
  <c r="C5" i="10" s="1"/>
  <c r="I660" i="1"/>
  <c r="I664" i="1" s="1"/>
  <c r="I667" i="1" s="1"/>
  <c r="J256" i="1"/>
  <c r="J257" i="1" s="1"/>
  <c r="J271" i="1" s="1"/>
  <c r="G33" i="13"/>
  <c r="D17" i="13"/>
  <c r="C17" i="13" s="1"/>
  <c r="F33" i="13"/>
  <c r="K256" i="1"/>
  <c r="K257" i="1" s="1"/>
  <c r="K271" i="1" s="1"/>
  <c r="L253" i="1"/>
  <c r="D19" i="13" s="1"/>
  <c r="C19" i="13" s="1"/>
  <c r="I256" i="1"/>
  <c r="I257" i="1" s="1"/>
  <c r="I271" i="1" s="1"/>
  <c r="J52" i="1"/>
  <c r="H621" i="1" s="1"/>
  <c r="J621" i="1" s="1"/>
  <c r="G626" i="1"/>
  <c r="J626" i="1" s="1"/>
  <c r="G637" i="1"/>
  <c r="J637" i="1" s="1"/>
  <c r="H646" i="1"/>
  <c r="J646" i="1"/>
  <c r="C141" i="2"/>
  <c r="C144" i="2" s="1"/>
  <c r="C41" i="10"/>
  <c r="I672" i="1" l="1"/>
  <c r="C7" i="10" s="1"/>
  <c r="H648" i="1"/>
  <c r="J648" i="1" s="1"/>
  <c r="D33" i="13"/>
  <c r="D36" i="13" s="1"/>
  <c r="C24" i="10"/>
  <c r="C28" i="10" s="1"/>
  <c r="D12" i="10" s="1"/>
  <c r="C114" i="2"/>
  <c r="C115" i="2" s="1"/>
  <c r="C145" i="2" s="1"/>
  <c r="L256" i="1"/>
  <c r="L257" i="1" s="1"/>
  <c r="L271" i="1" s="1"/>
  <c r="G632" i="1" s="1"/>
  <c r="J632" i="1" s="1"/>
  <c r="D38" i="10"/>
  <c r="D40" i="10"/>
  <c r="D37" i="10"/>
  <c r="D39" i="10"/>
  <c r="D35" i="10"/>
  <c r="D36" i="10"/>
  <c r="D21" i="10" l="1"/>
  <c r="D16" i="10"/>
  <c r="D27" i="10"/>
  <c r="D15" i="10"/>
  <c r="C30" i="10"/>
  <c r="D26" i="10"/>
  <c r="D17" i="10"/>
  <c r="D18" i="10"/>
  <c r="D24" i="10"/>
  <c r="D13" i="10"/>
  <c r="D11" i="10"/>
  <c r="D23" i="10"/>
  <c r="D25" i="10"/>
  <c r="D20" i="10"/>
  <c r="D22" i="10"/>
  <c r="D19" i="10"/>
  <c r="D10" i="10"/>
  <c r="H656" i="1"/>
  <c r="D41" i="10"/>
  <c r="D28" i="10" l="1"/>
  <c r="H524" i="1"/>
  <c r="H545" i="1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<sst xmlns="http://schemas.openxmlformats.org/spreadsheetml/2006/main" count="3958" uniqueCount="916">
  <si>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</si>
  <si>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</si>
  <si>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</si>
  <si>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</si>
  <si>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</si>
  <si>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</si>
  <si>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</si>
  <si>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</si>
  <si>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</si>
  <si>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</si>
  <si>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</si>
  <si>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</si>
  <si>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</si>
  <si>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</si>
  <si>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</si>
  <si>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</si>
  <si>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</si>
  <si>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</si>
  <si>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</si>
  <si>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</si>
  <si>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</si>
  <si>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</si>
  <si>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</si>
  <si>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</si>
  <si>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</si>
  <si>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</si>
  <si>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</si>
  <si>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</si>
  <si>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</si>
  <si>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</si>
  <si>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</si>
  <si>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</si>
  <si>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</si>
  <si>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</si>
  <si>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</si>
  <si>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</si>
  <si>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</si>
  <si>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</si>
  <si>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</si>
  <si>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</si>
  <si>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</si>
  <si>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</si>
  <si>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</si>
  <si>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</si>
  <si>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</si>
  <si>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</si>
  <si>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</si>
  <si>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</si>
  <si>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</si>
  <si>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</si>
  <si>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</si>
  <si>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</si>
  <si>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</si>
  <si>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</si>
  <si>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</si>
  <si>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</si>
  <si>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</si>
  <si>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</si>
  <si>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</si>
  <si>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</si>
  <si>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</si>
  <si>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</si>
  <si>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</si>
  <si>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</si>
  <si>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</si>
  <si>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</si>
  <si>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</si>
  <si>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</si>
  <si>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</si>
  <si>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</si>
  <si>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</si>
  <si>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</si>
  <si>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</si>
  <si>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</si>
  <si>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</si>
  <si>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</si>
  <si>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</si>
  <si>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</si>
  <si>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</si>
  <si>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</si>
  <si>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</si>
  <si>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</si>
  <si>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</si>
  <si>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</si>
  <si>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</si>
  <si>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</si>
  <si>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</si>
  <si>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</si>
  <si>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</si>
  <si>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</si>
  <si>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</si>
  <si>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</si>
  <si>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</si>
  <si>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</si>
  <si>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</si>
  <si>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</si>
  <si>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</si>
  <si>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</si>
  <si>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</si>
  <si>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</si>
  <si>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</si>
  <si>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</si>
  <si>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</si>
  <si>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</si>
  <si>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</si>
  <si>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</si>
  <si>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</si>
  <si>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</si>
  <si>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</si>
  <si>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</si>
  <si>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</si>
  <si>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</si>
  <si>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</si>
  <si>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</si>
  <si>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</si>
  <si>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</si>
  <si>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</si>
  <si>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</si>
  <si>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</si>
  <si>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</si>
  <si>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</si>
  <si>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</si>
  <si>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</si>
  <si>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</si>
  <si>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</si>
  <si>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</si>
  <si>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</si>
  <si>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</si>
  <si>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</si>
  <si>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</si>
  <si>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</si>
  <si>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</si>
  <si>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</si>
  <si>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</si>
  <si>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</si>
  <si>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</si>
  <si>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</si>
  <si>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</si>
  <si>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</si>
  <si>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</si>
  <si>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</si>
  <si>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</si>
  <si>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</si>
  <si>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</si>
  <si>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</si>
  <si>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</si>
  <si>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</si>
  <si>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</si>
  <si>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</si>
  <si>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</si>
  <si>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</si>
  <si>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</si>
  <si>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</si>
  <si>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</si>
  <si>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</si>
  <si>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</si>
  <si>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</si>
  <si>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</si>
  <si>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</si>
  <si>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</si>
  <si>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</si>
  <si>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</si>
  <si>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</si>
  <si>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</si>
  <si>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</si>
  <si>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</si>
  <si>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</si>
  <si>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</si>
  <si>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</si>
  <si>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</si>
  <si>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</si>
  <si>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</si>
  <si>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</si>
  <si>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</si>
  <si>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</si>
  <si>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</si>
  <si>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</si>
  <si>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</si>
  <si>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</si>
  <si>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</si>
  <si>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</si>
  <si>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</si>
  <si>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</si>
  <si>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</si>
  <si>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</si>
  <si>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</si>
  <si>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</si>
  <si>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</si>
  <si>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</si>
  <si>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</si>
  <si>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</si>
  <si>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</si>
  <si>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</si>
  <si>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</si>
  <si>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</si>
  <si>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</si>
  <si>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</si>
  <si>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</si>
  <si>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</si>
  <si>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</si>
  <si>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</si>
  <si>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</si>
  <si>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</si>
  <si>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</si>
  <si>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</si>
  <si>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</si>
  <si>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</si>
  <si>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</si>
  <si>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</si>
  <si>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</si>
  <si>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</si>
  <si>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</si>
  <si>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</si>
  <si>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</si>
  <si>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</si>
  <si>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</si>
  <si>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</si>
  <si>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</si>
  <si>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</si>
  <si>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</si>
  <si>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</si>
  <si>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</si>
  <si>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</si>
  <si>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</si>
  <si>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</si>
  <si>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</si>
  <si>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</si>
  <si>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</si>
  <si>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</si>
  <si>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</si>
  <si>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</si>
  <si>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</si>
  <si>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</si>
  <si>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</si>
  <si>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</si>
  <si>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</si>
  <si>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</si>
  <si>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</si>
  <si>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</si>
  <si>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</si>
  <si>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</si>
  <si>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</si>
  <si>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</si>
  <si>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</si>
  <si>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</si>
  <si>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</si>
  <si>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</si>
  <si>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</si>
  <si>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</si>
  <si>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</si>
  <si>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</si>
  <si>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</si>
  <si>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</si>
  <si>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</si>
  <si>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</si>
  <si>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</si>
  <si>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</si>
  <si>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</si>
  <si>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</si>
  <si>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</si>
  <si>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</si>
  <si>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</si>
  <si>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</si>
  <si>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</si>
  <si>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</si>
  <si>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</si>
  <si>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</si>
  <si>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</si>
  <si>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</si>
  <si>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</si>
  <si>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</si>
  <si>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</si>
  <si>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</si>
  <si>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</si>
  <si>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</si>
  <si>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</si>
  <si>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</si>
  <si>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</si>
  <si>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</si>
  <si>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</si>
  <si>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</si>
  <si>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</si>
  <si>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</si>
  <si>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</si>
  <si>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</si>
  <si>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</si>
  <si>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</si>
  <si>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</si>
  <si>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</si>
  <si>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</si>
  <si>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</si>
  <si>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</si>
  <si>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</si>
  <si>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</si>
  <si>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</si>
  <si>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</si>
  <si>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</si>
  <si>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</si>
  <si>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</si>
  <si>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</si>
  <si>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</si>
  <si>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</si>
  <si>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</si>
  <si>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</si>
  <si>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</si>
  <si>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</si>
  <si>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</si>
  <si>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</si>
  <si>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</si>
  <si>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</si>
  <si>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</si>
  <si>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</si>
  <si>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</si>
  <si>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</si>
  <si>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</si>
  <si>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</si>
  <si>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</si>
  <si>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</si>
  <si>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</si>
  <si>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</si>
  <si>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</si>
  <si>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</si>
  <si>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</si>
  <si>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</si>
  <si>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</si>
  <si>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</si>
  <si>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</si>
  <si>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</si>
  <si>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</si>
  <si>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</si>
  <si>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</si>
  <si>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</si>
  <si>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</si>
  <si>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</si>
  <si>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</si>
  <si>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</si>
  <si>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</si>
  <si>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</si>
  <si>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</si>
  <si>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</si>
  <si>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</si>
  <si>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</si>
  <si>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</si>
  <si>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</si>
  <si>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</si>
  <si>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</si>
  <si>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</si>
  <si>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</si>
  <si>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</si>
  <si>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</si>
  <si>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</si>
  <si>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</si>
  <si>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</si>
  <si>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</si>
  <si>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</si>
  <si>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</si>
  <si>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</si>
  <si>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</si>
  <si>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</si>
  <si>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</si>
  <si>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</si>
  <si>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</si>
  <si>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</si>
  <si>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</si>
  <si>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</si>
  <si>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</si>
  <si>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</si>
  <si>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</si>
  <si>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</si>
  <si>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</si>
  <si>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</si>
  <si>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</si>
  <si>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</si>
  <si>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</si>
  <si>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</si>
  <si>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</si>
  <si>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</si>
  <si>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</si>
  <si>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</si>
  <si>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</si>
  <si>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</si>
  <si>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</si>
  <si>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</si>
  <si>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</si>
  <si>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</si>
  <si>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</si>
  <si>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</si>
  <si>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</si>
  <si>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</si>
  <si>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</si>
  <si>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</si>
  <si>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</si>
  <si>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</si>
  <si>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</si>
  <si>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</si>
  <si>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</si>
  <si>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</si>
  <si>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</si>
  <si>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</si>
  <si>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</si>
  <si>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</si>
  <si>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</si>
  <si>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</si>
  <si>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</si>
  <si>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</si>
  <si>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</si>
  <si>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</si>
  <si>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</si>
  <si>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</si>
  <si>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</si>
  <si>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</si>
  <si>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</si>
  <si>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</si>
  <si>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</si>
  <si>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</si>
  <si>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</si>
  <si>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</si>
  <si>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</si>
  <si>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</si>
  <si>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</si>
  <si>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</si>
  <si>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</si>
  <si>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</si>
  <si>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</si>
  <si>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</si>
  <si>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</si>
  <si>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</si>
  <si>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</si>
  <si>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</si>
  <si>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</si>
  <si>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</si>
  <si>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</si>
  <si>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</si>
  <si>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</si>
  <si>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</si>
  <si>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</si>
  <si>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</si>
  <si>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</si>
  <si>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</si>
  <si>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</si>
  <si>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</si>
  <si>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</si>
  <si>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</si>
  <si>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</si>
  <si>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</si>
  <si>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</si>
  <si>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</si>
  <si>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</si>
  <si>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</si>
  <si>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</si>
  <si>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</si>
  <si>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</si>
  <si>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</si>
  <si>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</si>
  <si>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</si>
  <si>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</si>
  <si>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</si>
  <si>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</si>
  <si>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</si>
  <si>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</si>
  <si>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</si>
  <si>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</si>
  <si>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</si>
  <si>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</si>
  <si>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</si>
  <si>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</si>
  <si>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</si>
  <si>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</si>
  <si>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</si>
  <si>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</si>
  <si>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</si>
  <si>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</si>
  <si>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</si>
  <si>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</si>
  <si>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</si>
  <si>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</si>
  <si>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</si>
  <si>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</si>
  <si>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</si>
  <si>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</si>
  <si>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</si>
  <si>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</si>
  <si>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</si>
  <si>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</si>
  <si>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</si>
  <si>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</si>
  <si>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</si>
  <si>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</si>
  <si>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</si>
  <si>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</si>
  <si>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</si>
  <si>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</si>
  <si>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</si>
  <si>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</si>
  <si>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</si>
  <si>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</si>
  <si>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</si>
  <si>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</si>
  <si>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</si>
  <si>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</si>
  <si>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</si>
  <si>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</si>
  <si>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</si>
  <si>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</si>
  <si>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</si>
  <si>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</si>
  <si>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</si>
  <si>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</si>
  <si>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</si>
  <si>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</si>
  <si>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</si>
  <si>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</si>
  <si>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</si>
  <si>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</si>
  <si>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</si>
  <si>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</si>
  <si>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</si>
  <si>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</si>
  <si>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</si>
  <si>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</si>
  <si>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</si>
  <si>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</si>
  <si>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</si>
  <si>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</si>
  <si>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</si>
  <si>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</si>
  <si>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</si>
  <si>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</si>
  <si>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</si>
  <si>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</si>
  <si>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</si>
  <si>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</si>
  <si>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</si>
  <si>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</si>
  <si>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</si>
  <si>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</si>
  <si>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</si>
  <si>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</si>
  <si>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</si>
  <si>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</si>
  <si>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</si>
  <si>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</si>
  <si>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</si>
  <si>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</si>
  <si>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</si>
  <si>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</si>
  <si>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</si>
  <si>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</si>
  <si>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</si>
  <si>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</si>
  <si>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</si>
  <si>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</si>
  <si>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</si>
  <si>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</si>
  <si>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</si>
  <si>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</si>
  <si>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</si>
  <si>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</si>
  <si>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</si>
  <si>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</si>
  <si>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</si>
  <si>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</si>
  <si>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</si>
  <si>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</si>
  <si>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</si>
  <si>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</si>
  <si>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</si>
  <si>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</si>
  <si>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</si>
  <si>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</si>
  <si>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</si>
  <si>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</si>
  <si>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</si>
  <si>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</si>
  <si>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</si>
  <si>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</si>
  <si>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</si>
  <si>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</si>
  <si>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</si>
  <si>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</si>
  <si>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</si>
  <si>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</si>
  <si>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</si>
  <si>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</si>
  <si>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</si>
  <si>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</si>
  <si>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</si>
  <si>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</si>
  <si>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</si>
  <si>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</si>
  <si>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</si>
  <si>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</si>
  <si>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</si>
  <si>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</si>
  <si>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</si>
  <si>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</si>
  <si>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</si>
  <si>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</si>
  <si>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</si>
  <si>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</si>
  <si>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</si>
  <si>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</si>
  <si>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</si>
  <si>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</si>
  <si>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</si>
  <si>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</si>
  <si>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</si>
  <si>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</si>
  <si>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</si>
  <si>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</si>
  <si>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</si>
  <si>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</si>
  <si>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</si>
  <si>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</si>
  <si>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</si>
  <si>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</si>
  <si>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</si>
  <si>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</si>
  <si>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</si>
  <si>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</si>
  <si>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</si>
  <si>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</si>
  <si>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</si>
  <si>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</si>
  <si>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</si>
  <si>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</si>
  <si>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</si>
  <si>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</si>
  <si>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</si>
  <si>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</si>
  <si>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</si>
  <si>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</si>
  <si>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</si>
  <si>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</si>
  <si>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</si>
  <si>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</si>
  <si>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</si>
  <si>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</si>
  <si>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</si>
  <si>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</si>
  <si>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</si>
  <si>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</si>
  <si>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</si>
  <si>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</si>
  <si>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</si>
  <si>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</si>
  <si>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</si>
  <si>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</si>
  <si>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</si>
  <si>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</si>
  <si>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</si>
  <si>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</si>
  <si>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</si>
  <si>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</si>
  <si>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</si>
  <si>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</si>
  <si>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</si>
  <si>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</si>
  <si>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</si>
  <si>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</si>
  <si>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</si>
  <si>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</si>
  <si>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</si>
  <si>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</si>
  <si>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</si>
  <si>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</si>
  <si>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</si>
  <si>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</si>
  <si>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</si>
  <si>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</si>
  <si>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</si>
  <si>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</si>
  <si>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</si>
  <si>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</si>
  <si>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</si>
  <si>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</si>
  <si>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</si>
  <si>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</si>
  <si>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</si>
  <si>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</si>
  <si>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</si>
  <si>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</si>
  <si>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</si>
  <si>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</si>
  <si>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</si>
  <si>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</si>
  <si>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</si>
  <si>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</si>
  <si>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</si>
  <si>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</si>
  <si>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</si>
  <si>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</si>
  <si>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</si>
  <si>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</si>
  <si>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</si>
  <si>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</si>
  <si>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</si>
  <si>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</si>
  <si>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</si>
  <si>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</si>
  <si>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</si>
  <si>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</si>
  <si>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</si>
  <si>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</si>
  <si>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</si>
  <si>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</si>
  <si>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</si>
  <si>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</si>
  <si>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</si>
  <si>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</si>
  <si>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</si>
  <si>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</si>
  <si>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</si>
  <si>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</si>
  <si>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</si>
  <si>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</si>
  <si>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</si>
  <si>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</si>
  <si>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</si>
  <si>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</si>
  <si>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</si>
  <si>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</si>
  <si>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</si>
  <si>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</si>
  <si>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</si>
  <si>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</si>
  <si>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</si>
  <si>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</si>
  <si>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</si>
  <si>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</si>
  <si>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</si>
  <si>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</si>
  <si>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</si>
  <si>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</si>
  <si>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</si>
  <si>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</si>
  <si>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</si>
  <si>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</si>
  <si>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</si>
  <si>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</si>
  <si>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</si>
  <si>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</si>
  <si>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</si>
  <si>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</si>
  <si>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</si>
  <si>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</si>
  <si>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</si>
  <si>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</si>
  <si>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</si>
  <si>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</si>
  <si>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</si>
  <si>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</si>
  <si>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</si>
  <si>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</si>
  <si>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</si>
  <si>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</si>
  <si>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</si>
  <si>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</si>
  <si>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</si>
  <si>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</si>
  <si>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</si>
  <si>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</si>
  <si>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</si>
  <si>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</si>
  <si>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</si>
  <si>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</si>
  <si>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</si>
  <si>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</si>
  <si>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</si>
  <si>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</si>
  <si>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</si>
  <si>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</si>
  <si>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</si>
  <si>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</si>
  <si>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</si>
  <si>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</si>
  <si>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</si>
  <si>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</si>
  <si>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</si>
  <si>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</si>
  <si>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</si>
  <si>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</si>
  <si>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</si>
  <si>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</si>
  <si>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</si>
  <si>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</si>
  <si>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</si>
  <si>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</si>
  <si>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</si>
  <si>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</si>
  <si>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</si>
  <si>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</si>
  <si>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</si>
  <si>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</si>
  <si>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</si>
  <si>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</si>
  <si>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</si>
  <si>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</si>
  <si>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</si>
  <si>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</si>
  <si>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</si>
  <si>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</si>
  <si>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</si>
  <si>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</si>
  <si>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</si>
  <si>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</si>
  <si>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</si>
  <si>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</si>
  <si>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</si>
  <si>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</si>
  <si>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</si>
  <si>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</si>
  <si>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</si>
  <si>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</si>
  <si>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</si>
  <si>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</si>
  <si>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</si>
  <si>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</si>
  <si>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</si>
  <si>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</si>
  <si>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</si>
  <si>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</si>
  <si>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</si>
  <si>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</si>
  <si>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</si>
  <si>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</si>
  <si>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</si>
  <si>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</si>
  <si>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</si>
  <si>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</si>
  <si>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</si>
  <si>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</si>
  <si>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</si>
  <si>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</si>
  <si>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</si>
  <si>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</si>
  <si>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</si>
  <si>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</si>
  <si>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</si>
  <si>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</si>
  <si>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</si>
  <si>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</si>
  <si>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</si>
  <si>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</si>
  <si>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</si>
  <si>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</si>
  <si>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</si>
  <si>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</si>
  <si>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</si>
  <si>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</si>
  <si>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</si>
  <si>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</si>
  <si>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</si>
  <si>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</si>
  <si>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</si>
  <si>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</si>
  <si>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</si>
  <si>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</si>
  <si>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</si>
  <si>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</si>
  <si>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</si>
  <si>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</si>
  <si>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</si>
  <si>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</si>
  <si>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</si>
  <si>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</si>
  <si>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</si>
  <si>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</si>
  <si>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</si>
  <si>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</si>
  <si>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</si>
  <si>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</si>
  <si>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</si>
  <si>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</si>
  <si>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</si>
  <si>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</si>
  <si>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</si>
  <si>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</si>
  <si>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</si>
  <si>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</si>
  <si>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</si>
  <si>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</si>
  <si>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</si>
  <si>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</si>
  <si>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</si>
  <si>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</si>
  <si>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</si>
  <si>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</si>
  <si>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</si>
  <si>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</si>
  <si>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</si>
  <si>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</si>
  <si>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</si>
  <si>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</si>
  <si>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</si>
  <si>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</si>
  <si>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</si>
  <si>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</si>
  <si>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</si>
  <si>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</si>
  <si>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</si>
  <si>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</si>
  <si>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</si>
  <si>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</si>
  <si>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</si>
  <si>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</si>
  <si>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</si>
  <si>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</si>
  <si>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</si>
  <si>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</si>
  <si>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</si>
  <si>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</si>
  <si>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4/2003</t>
  </si>
  <si>
    <t>1/2018</t>
  </si>
  <si>
    <t>deposit in transit from prior year</t>
  </si>
  <si>
    <t>Moultonborough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</si>
</sst>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369</v>
      </c>
      <c r="C2" s="21">
        <v>369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1491493.04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1874543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14170.32</v>
      </c>
      <c r="H13" s="18">
        <v>221543.43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10912.05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1491493.04</v>
      </c>
      <c r="G19" s="41">
        <f>SUM(G9:G18)</f>
        <v>25082.37</v>
      </c>
      <c r="H19" s="41">
        <f>SUM(H9:H18)</f>
        <v>221543.43</v>
      </c>
      <c r="I19" s="41">
        <f>SUM(I9:I18)</f>
        <v>0</v>
      </c>
      <c r="J19" s="41">
        <f>SUM(J9:J18)</f>
        <v>1874543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652343.88</v>
      </c>
      <c r="G22" s="18">
        <v>21791.79</v>
      </c>
      <c r="H22" s="18">
        <v>209164.92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12378.51</v>
      </c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7905.24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660249.12</v>
      </c>
      <c r="G32" s="41">
        <f>SUM(G22:G31)</f>
        <v>21791.79</v>
      </c>
      <c r="H32" s="41">
        <f>SUM(H22:H31)</f>
        <v>221543.43000000002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200000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3290.58</v>
      </c>
      <c r="H48" s="18"/>
      <c r="I48" s="18"/>
      <c r="J48" s="13">
        <f>SUM(I459)</f>
        <v>1874543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380128.89</v>
      </c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176115.03-50000</f>
        <v>126115.03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831243.92</v>
      </c>
      <c r="G51" s="41">
        <f>SUM(G35:G50)</f>
        <v>3290.58</v>
      </c>
      <c r="H51" s="41">
        <f>SUM(H35:H50)</f>
        <v>0</v>
      </c>
      <c r="I51" s="41">
        <f>SUM(I35:I50)</f>
        <v>0</v>
      </c>
      <c r="J51" s="41">
        <f>SUM(J35:J50)</f>
        <v>1874543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1491493.04</v>
      </c>
      <c r="G52" s="41">
        <f>G51+G32</f>
        <v>25082.370000000003</v>
      </c>
      <c r="H52" s="41">
        <f>H51+H32</f>
        <v>221543.43000000002</v>
      </c>
      <c r="I52" s="41">
        <f>I51+I32</f>
        <v>0</v>
      </c>
      <c r="J52" s="41">
        <f>J51+J32</f>
        <v>1874543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6018128.0099999998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>
        <v>5185</v>
      </c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6018128.0099999998</v>
      </c>
      <c r="G60" s="41">
        <f>SUM(G57:G59)</f>
        <v>0</v>
      </c>
      <c r="H60" s="41">
        <f>SUM(H57:H59)</f>
        <v>5185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14473.68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14473.68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2072.5100000000002</v>
      </c>
      <c r="G96" s="18"/>
      <c r="H96" s="18"/>
      <c r="I96" s="18"/>
      <c r="J96" s="18">
        <f>1995+2333+1283+350</f>
        <v>5961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123696.73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>
        <v>250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1127.43</v>
      </c>
      <c r="G110" s="18"/>
      <c r="H110" s="18"/>
      <c r="I110" s="18"/>
      <c r="J110" s="18">
        <v>1670133</v>
      </c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3199.9400000000005</v>
      </c>
      <c r="G111" s="41">
        <f>SUM(G96:G110)</f>
        <v>123696.73</v>
      </c>
      <c r="H111" s="41">
        <f>SUM(H96:H110)</f>
        <v>0</v>
      </c>
      <c r="I111" s="41">
        <f>SUM(I96:I110)</f>
        <v>0</v>
      </c>
      <c r="J111" s="41">
        <f>SUM(J96:J110)</f>
        <v>1676344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6035801.6299999999</v>
      </c>
      <c r="G112" s="41">
        <f>G60+G111</f>
        <v>123696.73</v>
      </c>
      <c r="H112" s="41">
        <f>H60+H79+H94+H111</f>
        <v>5185</v>
      </c>
      <c r="I112" s="41">
        <f>I60+I111</f>
        <v>0</v>
      </c>
      <c r="J112" s="41">
        <f>J60+J111</f>
        <v>1676344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6862731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6862731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281299.37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202869.68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6231.6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2442.39+488.67</f>
        <v>2931.06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490400.64999999997</v>
      </c>
      <c r="G136" s="41">
        <f>SUM(G123:G135)</f>
        <v>2931.06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7353131.6500000004</v>
      </c>
      <c r="G140" s="41">
        <f>G121+SUM(G136:G137)</f>
        <v>2931.06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82119.64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-801.27+33765.73</f>
        <v>32964.460000000006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57098.36+19719.01</f>
        <v>76817.37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126177+2304</f>
        <v>128481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106576.71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106576.71</v>
      </c>
      <c r="G162" s="41">
        <f>SUM(G150:G161)</f>
        <v>76817.37</v>
      </c>
      <c r="H162" s="41">
        <f>SUM(H150:H161)</f>
        <v>243565.1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106576.71</v>
      </c>
      <c r="G169" s="41">
        <f>G147+G162+SUM(G163:G168)</f>
        <v>76817.37</v>
      </c>
      <c r="H169" s="41">
        <f>H147+H162+SUM(H163:H168)</f>
        <v>243565.1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13495509.990000002</v>
      </c>
      <c r="G193" s="47">
        <f>G112+G140+G169+G192</f>
        <v>203445.15999999997</v>
      </c>
      <c r="H193" s="47">
        <f>H112+H140+H169+H192</f>
        <v>248750.1</v>
      </c>
      <c r="I193" s="47">
        <f>I112+I140+I169+I192</f>
        <v>0</v>
      </c>
      <c r="J193" s="47">
        <f>J112+J140+J192</f>
        <v>1676344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1541193.79</v>
      </c>
      <c r="G197" s="18">
        <v>727503.94</v>
      </c>
      <c r="H197" s="18">
        <v>10012</v>
      </c>
      <c r="I197" s="18">
        <v>40128.230000000003</v>
      </c>
      <c r="J197" s="18">
        <v>8016.28</v>
      </c>
      <c r="K197" s="18">
        <v>0</v>
      </c>
      <c r="L197" s="19">
        <f>SUM(F197:K197)</f>
        <v>2326854.2399999998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631165.44999999995</v>
      </c>
      <c r="G198" s="18">
        <v>273431.34999999998</v>
      </c>
      <c r="H198" s="18">
        <f>357456.51-576.09</f>
        <v>356880.42</v>
      </c>
      <c r="I198" s="18">
        <f>6553.37+529.67+2533.59+247.5</f>
        <v>9864.130000000001</v>
      </c>
      <c r="J198" s="18">
        <v>1164.8499999999999</v>
      </c>
      <c r="K198" s="18">
        <v>2132.71</v>
      </c>
      <c r="L198" s="19">
        <f>SUM(F198:K198)</f>
        <v>1274638.9099999999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5955.98</v>
      </c>
      <c r="G199" s="18">
        <v>455.69</v>
      </c>
      <c r="H199" s="18">
        <v>0</v>
      </c>
      <c r="I199" s="4">
        <v>428.07</v>
      </c>
      <c r="J199" s="18">
        <v>0</v>
      </c>
      <c r="K199" s="18">
        <v>0</v>
      </c>
      <c r="L199" s="19">
        <f>SUM(F199:K199)</f>
        <v>6839.7399999999989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25581.25</v>
      </c>
      <c r="G200" s="18">
        <v>4692.76</v>
      </c>
      <c r="H200" s="18">
        <v>1607.74</v>
      </c>
      <c r="I200" s="18">
        <v>1952.04</v>
      </c>
      <c r="J200" s="18">
        <v>0</v>
      </c>
      <c r="K200" s="18">
        <v>0</v>
      </c>
      <c r="L200" s="19">
        <f>SUM(F200:K200)</f>
        <v>33833.79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30691.8+80.52+74098</f>
        <v>104870.32</v>
      </c>
      <c r="G202" s="18">
        <v>49527.26</v>
      </c>
      <c r="H202" s="18">
        <v>0</v>
      </c>
      <c r="I202" s="18">
        <v>3099.01</v>
      </c>
      <c r="J202" s="18">
        <v>81.88</v>
      </c>
      <c r="K202" s="18">
        <v>40</v>
      </c>
      <c r="L202" s="19">
        <f t="shared" ref="L202:L208" si="0">SUM(F202:K202)</f>
        <v>157618.47000000003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139971.47</v>
      </c>
      <c r="G203" s="18">
        <v>113434.68</v>
      </c>
      <c r="H203" s="18">
        <v>7494.64</v>
      </c>
      <c r="I203" s="18">
        <v>27540.69</v>
      </c>
      <c r="J203" s="18">
        <f>1636.75+81524.29</f>
        <v>83161.039999999994</v>
      </c>
      <c r="K203" s="18">
        <v>0</v>
      </c>
      <c r="L203" s="19">
        <f t="shared" si="0"/>
        <v>371602.51999999996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155101</v>
      </c>
      <c r="G204" s="18">
        <v>58484.13</v>
      </c>
      <c r="H204" s="18">
        <v>19538.66</v>
      </c>
      <c r="I204" s="18">
        <v>9836.08</v>
      </c>
      <c r="J204" s="18">
        <v>0</v>
      </c>
      <c r="K204" s="18">
        <f>2042.77+8915.44+1361</f>
        <v>12319.210000000001</v>
      </c>
      <c r="L204" s="19">
        <f t="shared" si="0"/>
        <v>255279.08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166227.4</v>
      </c>
      <c r="G205" s="18">
        <v>60423.360000000001</v>
      </c>
      <c r="H205" s="18">
        <v>8665.8799999999992</v>
      </c>
      <c r="I205" s="18">
        <v>1441.62</v>
      </c>
      <c r="J205" s="18">
        <v>0</v>
      </c>
      <c r="K205" s="18">
        <v>0</v>
      </c>
      <c r="L205" s="19">
        <f t="shared" si="0"/>
        <v>236758.26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135125.91</v>
      </c>
      <c r="G207" s="18">
        <v>71524.28</v>
      </c>
      <c r="H207" s="18">
        <v>107309.1</v>
      </c>
      <c r="I207" s="18">
        <v>137351.97</v>
      </c>
      <c r="J207" s="18">
        <v>14877</v>
      </c>
      <c r="K207" s="18">
        <v>0</v>
      </c>
      <c r="L207" s="19">
        <f t="shared" si="0"/>
        <v>466188.26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12787.48+84+129983.55+576.09</f>
        <v>143431.12</v>
      </c>
      <c r="I208" s="18">
        <v>105</v>
      </c>
      <c r="J208" s="18"/>
      <c r="K208" s="18"/>
      <c r="L208" s="19">
        <f t="shared" si="0"/>
        <v>143536.12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2905192.5700000003</v>
      </c>
      <c r="G211" s="41">
        <f t="shared" si="1"/>
        <v>1359477.4499999997</v>
      </c>
      <c r="H211" s="41">
        <f t="shared" si="1"/>
        <v>654939.55999999994</v>
      </c>
      <c r="I211" s="41">
        <f t="shared" si="1"/>
        <v>231746.84</v>
      </c>
      <c r="J211" s="41">
        <f t="shared" si="1"/>
        <v>107301.04999999999</v>
      </c>
      <c r="K211" s="41">
        <f t="shared" si="1"/>
        <v>14491.920000000002</v>
      </c>
      <c r="L211" s="41">
        <f t="shared" si="1"/>
        <v>5273149.3899999997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496533.87</v>
      </c>
      <c r="G215" s="18">
        <v>247402.89</v>
      </c>
      <c r="H215" s="18">
        <v>969.75</v>
      </c>
      <c r="I215" s="18">
        <v>40915.89</v>
      </c>
      <c r="J215" s="18">
        <v>5651.29</v>
      </c>
      <c r="K215" s="18">
        <v>0</v>
      </c>
      <c r="L215" s="19">
        <f>SUM(F215:K215)</f>
        <v>791473.69000000006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223494.77</v>
      </c>
      <c r="G216" s="18">
        <v>78960.820000000007</v>
      </c>
      <c r="H216" s="18">
        <f>314107.85-3989.44</f>
        <v>310118.40999999997</v>
      </c>
      <c r="I216" s="18">
        <f>2124.81+134.4+192.95</f>
        <v>2452.16</v>
      </c>
      <c r="J216" s="18">
        <v>1536.44</v>
      </c>
      <c r="K216" s="18">
        <v>0</v>
      </c>
      <c r="L216" s="19">
        <f>SUM(F216:K216)</f>
        <v>616562.6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1995.95</v>
      </c>
      <c r="G217" s="18">
        <v>3635.95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5631.9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21349.02+3293.92+12024.57</f>
        <v>36667.51</v>
      </c>
      <c r="G218" s="18">
        <f>2913.85+1171.65</f>
        <v>4085.5</v>
      </c>
      <c r="H218" s="18">
        <v>2480.1799999999998</v>
      </c>
      <c r="I218" s="18">
        <v>22326.04</v>
      </c>
      <c r="J218" s="18">
        <v>2330.5100000000002</v>
      </c>
      <c r="K218" s="18">
        <f>1074+1981</f>
        <v>3055</v>
      </c>
      <c r="L218" s="19">
        <f>SUM(F218:K218)</f>
        <v>70944.740000000005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84589.9</v>
      </c>
      <c r="G220" s="18">
        <v>20597.400000000001</v>
      </c>
      <c r="H220" s="18">
        <v>0</v>
      </c>
      <c r="I220" s="18">
        <v>1541.66</v>
      </c>
      <c r="J220" s="18">
        <v>0</v>
      </c>
      <c r="K220" s="18">
        <v>0</v>
      </c>
      <c r="L220" s="19">
        <f t="shared" ref="L220:L226" si="2">SUM(F220:K220)</f>
        <v>106728.95999999999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107495.57</v>
      </c>
      <c r="G221" s="18">
        <v>88594.559999999998</v>
      </c>
      <c r="H221" s="18">
        <v>10095.93</v>
      </c>
      <c r="I221" s="18">
        <v>14189.18</v>
      </c>
      <c r="J221" s="18">
        <f>250.24+24595.35</f>
        <v>24845.59</v>
      </c>
      <c r="K221" s="18">
        <f>501.03</f>
        <v>501.03</v>
      </c>
      <c r="L221" s="19">
        <f t="shared" si="2"/>
        <v>245721.86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59144.37</v>
      </c>
      <c r="G222" s="18">
        <v>24244.91</v>
      </c>
      <c r="H222" s="18">
        <v>7126.62</v>
      </c>
      <c r="I222" s="18">
        <v>4524.9399999999996</v>
      </c>
      <c r="J222" s="18">
        <v>0</v>
      </c>
      <c r="K222" s="18">
        <f>672.6+6254.67+453</f>
        <v>7380.27</v>
      </c>
      <c r="L222" s="19">
        <f t="shared" si="2"/>
        <v>102421.11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59899.43</v>
      </c>
      <c r="G223" s="18">
        <v>31826.92</v>
      </c>
      <c r="H223" s="18">
        <v>3086.12</v>
      </c>
      <c r="I223" s="18">
        <v>430.04</v>
      </c>
      <c r="J223" s="18">
        <v>0</v>
      </c>
      <c r="K223" s="18">
        <v>0</v>
      </c>
      <c r="L223" s="19">
        <f t="shared" si="2"/>
        <v>95242.51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88923</v>
      </c>
      <c r="G225" s="18">
        <f>24631+6866.15+10690.78</f>
        <v>42187.93</v>
      </c>
      <c r="H225" s="18">
        <v>52080.62</v>
      </c>
      <c r="I225" s="18">
        <v>55457.19</v>
      </c>
      <c r="J225" s="18">
        <v>5661.49</v>
      </c>
      <c r="K225" s="18">
        <v>0</v>
      </c>
      <c r="L225" s="19">
        <f t="shared" si="2"/>
        <v>244310.22999999998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69622.87+3989.44</f>
        <v>73612.31</v>
      </c>
      <c r="I226" s="18">
        <v>31.66</v>
      </c>
      <c r="J226" s="18"/>
      <c r="K226" s="18"/>
      <c r="L226" s="19">
        <f t="shared" si="2"/>
        <v>73643.97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1158744.3700000001</v>
      </c>
      <c r="G229" s="41">
        <f>SUM(G215:G228)</f>
        <v>541536.88</v>
      </c>
      <c r="H229" s="41">
        <f>SUM(H215:H228)</f>
        <v>459569.93999999994</v>
      </c>
      <c r="I229" s="41">
        <f>SUM(I215:I228)</f>
        <v>141868.75999999998</v>
      </c>
      <c r="J229" s="41">
        <f>SUM(J215:J228)</f>
        <v>40025.32</v>
      </c>
      <c r="K229" s="41">
        <f t="shared" si="3"/>
        <v>10936.3</v>
      </c>
      <c r="L229" s="41">
        <f t="shared" si="3"/>
        <v>2352681.5700000003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1249607.02</v>
      </c>
      <c r="G233" s="18">
        <v>635940.66</v>
      </c>
      <c r="H233" s="18">
        <v>3779.82</v>
      </c>
      <c r="I233" s="18">
        <v>58321.35</v>
      </c>
      <c r="J233" s="18">
        <v>9824.7099999999991</v>
      </c>
      <c r="K233" s="18">
        <v>0</v>
      </c>
      <c r="L233" s="19">
        <f>SUM(F233:K233)</f>
        <v>1957473.5600000003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416837.09</v>
      </c>
      <c r="G234" s="18">
        <v>183244.95</v>
      </c>
      <c r="H234" s="18">
        <f>47112.61-28734.62</f>
        <v>18377.990000000002</v>
      </c>
      <c r="I234" s="18">
        <f>322.62+59.85+61.95</f>
        <v>444.42</v>
      </c>
      <c r="J234" s="18">
        <v>0</v>
      </c>
      <c r="K234" s="18">
        <v>0</v>
      </c>
      <c r="L234" s="19">
        <f>SUM(F234:K234)</f>
        <v>618904.45000000007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3959.83</v>
      </c>
      <c r="G235" s="18">
        <v>301.54000000000002</v>
      </c>
      <c r="H235" s="18">
        <v>35727.56</v>
      </c>
      <c r="I235" s="18">
        <v>10179.83</v>
      </c>
      <c r="J235" s="18">
        <v>0</v>
      </c>
      <c r="K235" s="18">
        <v>0</v>
      </c>
      <c r="L235" s="19">
        <f>SUM(F235:K235)</f>
        <v>50168.76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101349.25+3293.92+13471.91</f>
        <v>118115.08</v>
      </c>
      <c r="G236" s="18">
        <f>17325.34+968+1282.7</f>
        <v>19576.04</v>
      </c>
      <c r="H236" s="18">
        <f>29606.3+250</f>
        <v>29856.3</v>
      </c>
      <c r="I236" s="18">
        <v>49992.78</v>
      </c>
      <c r="J236" s="18">
        <v>2500</v>
      </c>
      <c r="K236" s="18">
        <f>3729.67+6308.96</f>
        <v>10038.630000000001</v>
      </c>
      <c r="L236" s="19">
        <f>SUM(F236:K236)</f>
        <v>230078.83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111683.41</v>
      </c>
      <c r="G238" s="18">
        <v>49397.37</v>
      </c>
      <c r="H238" s="18">
        <v>0</v>
      </c>
      <c r="I238" s="18">
        <v>2868.87</v>
      </c>
      <c r="J238" s="18">
        <v>0</v>
      </c>
      <c r="K238" s="18">
        <v>0</v>
      </c>
      <c r="L238" s="19">
        <f t="shared" ref="L238:L244" si="4">SUM(F238:K238)</f>
        <v>163949.65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154738.07</v>
      </c>
      <c r="G239" s="18">
        <v>84121.32</v>
      </c>
      <c r="H239" s="18">
        <v>49650.44</v>
      </c>
      <c r="I239" s="18">
        <v>25969.200000000001</v>
      </c>
      <c r="J239" s="18">
        <f>247.79+42963.42</f>
        <v>43211.21</v>
      </c>
      <c r="K239" s="18">
        <f>4630.46</f>
        <v>4630.46</v>
      </c>
      <c r="L239" s="19">
        <f t="shared" si="4"/>
        <v>362320.70000000007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110056.38</v>
      </c>
      <c r="G240" s="18">
        <v>40712.800000000003</v>
      </c>
      <c r="H240" s="18">
        <v>15879.43</v>
      </c>
      <c r="I240" s="18">
        <v>7716.67</v>
      </c>
      <c r="J240" s="18">
        <v>0</v>
      </c>
      <c r="K240" s="18">
        <f>1370.18+7340.07+908</f>
        <v>9618.25</v>
      </c>
      <c r="L240" s="19">
        <f t="shared" si="4"/>
        <v>183983.53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183023.81</v>
      </c>
      <c r="G241" s="18">
        <v>96846.9</v>
      </c>
      <c r="H241" s="18">
        <v>9538.2999999999993</v>
      </c>
      <c r="I241" s="18">
        <v>589.36</v>
      </c>
      <c r="J241" s="18">
        <v>299.99</v>
      </c>
      <c r="K241" s="18">
        <v>9297.25</v>
      </c>
      <c r="L241" s="19">
        <f t="shared" si="4"/>
        <v>299595.60999999993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219418.11</v>
      </c>
      <c r="G243" s="18">
        <v>119751.2</v>
      </c>
      <c r="H243" s="18">
        <v>99291.07</v>
      </c>
      <c r="I243" s="18">
        <v>115621.71</v>
      </c>
      <c r="J243" s="18">
        <v>9818.82</v>
      </c>
      <c r="K243" s="18">
        <v>0</v>
      </c>
      <c r="L243" s="19">
        <f t="shared" si="4"/>
        <v>563900.90999999992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214800.48+28734.62</f>
        <v>243535.1</v>
      </c>
      <c r="I244" s="18">
        <v>93.34</v>
      </c>
      <c r="J244" s="18"/>
      <c r="K244" s="18"/>
      <c r="L244" s="19">
        <f t="shared" si="4"/>
        <v>243628.44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2567438.8000000003</v>
      </c>
      <c r="G247" s="41">
        <f t="shared" si="5"/>
        <v>1229892.78</v>
      </c>
      <c r="H247" s="41">
        <f t="shared" si="5"/>
        <v>505636.01</v>
      </c>
      <c r="I247" s="41">
        <f t="shared" si="5"/>
        <v>271797.53000000003</v>
      </c>
      <c r="J247" s="41">
        <f t="shared" si="5"/>
        <v>65654.73</v>
      </c>
      <c r="K247" s="41">
        <f t="shared" si="5"/>
        <v>33584.589999999997</v>
      </c>
      <c r="L247" s="41">
        <f t="shared" si="5"/>
        <v>4674004.4400000004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6631375.7400000002</v>
      </c>
      <c r="G257" s="41">
        <f t="shared" si="8"/>
        <v>3130907.1099999994</v>
      </c>
      <c r="H257" s="41">
        <f t="shared" si="8"/>
        <v>1620145.51</v>
      </c>
      <c r="I257" s="41">
        <f t="shared" si="8"/>
        <v>645413.13</v>
      </c>
      <c r="J257" s="41">
        <f t="shared" si="8"/>
        <v>212981.09999999998</v>
      </c>
      <c r="K257" s="41">
        <f t="shared" si="8"/>
        <v>59012.81</v>
      </c>
      <c r="L257" s="41">
        <f t="shared" si="8"/>
        <v>12299835.4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875909</v>
      </c>
      <c r="L260" s="19">
        <f>SUM(F260:K260)</f>
        <v>875909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100127</v>
      </c>
      <c r="L261" s="19">
        <f>SUM(F261:K261)</f>
        <v>100127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976036</v>
      </c>
      <c r="L270" s="41">
        <f t="shared" si="9"/>
        <v>976036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6631375.7400000002</v>
      </c>
      <c r="G271" s="42">
        <f t="shared" si="11"/>
        <v>3130907.1099999994</v>
      </c>
      <c r="H271" s="42">
        <f t="shared" si="11"/>
        <v>1620145.51</v>
      </c>
      <c r="I271" s="42">
        <f t="shared" si="11"/>
        <v>645413.13</v>
      </c>
      <c r="J271" s="42">
        <f t="shared" si="11"/>
        <v>212981.09999999998</v>
      </c>
      <c r="K271" s="42">
        <f t="shared" si="11"/>
        <v>1035048.81</v>
      </c>
      <c r="L271" s="42">
        <f t="shared" si="11"/>
        <v>13275871.4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68968.75</f>
        <v>68968.75</v>
      </c>
      <c r="G276" s="18">
        <f>361.91+5276.03+7512.95</f>
        <v>13150.89</v>
      </c>
      <c r="H276" s="18"/>
      <c r="I276" s="18"/>
      <c r="J276" s="18"/>
      <c r="K276" s="18"/>
      <c r="L276" s="19">
        <f>SUM(F276:K276)</f>
        <v>82119.64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61104.18+2304</f>
        <v>63408.18</v>
      </c>
      <c r="G277" s="18">
        <f>4699.04+6288.77</f>
        <v>10987.810000000001</v>
      </c>
      <c r="H277" s="18">
        <v>54085.01</v>
      </c>
      <c r="I277" s="18"/>
      <c r="J277" s="18"/>
      <c r="K277" s="18"/>
      <c r="L277" s="19">
        <f>SUM(F277:K277)</f>
        <v>128481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f>5185</f>
        <v>5185</v>
      </c>
      <c r="I282" s="18"/>
      <c r="J282" s="18"/>
      <c r="K282" s="18"/>
      <c r="L282" s="19">
        <f t="shared" si="12"/>
        <v>5185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132376.93</v>
      </c>
      <c r="G290" s="42">
        <f t="shared" si="13"/>
        <v>24138.7</v>
      </c>
      <c r="H290" s="42">
        <f t="shared" si="13"/>
        <v>59270.01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215785.64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>
        <f>33765.73-801.27</f>
        <v>32964.460000000006</v>
      </c>
      <c r="I301" s="18"/>
      <c r="J301" s="18"/>
      <c r="K301" s="18"/>
      <c r="L301" s="19">
        <f t="shared" si="14"/>
        <v>32964.460000000006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32964.460000000006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32964.460000000006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132376.93</v>
      </c>
      <c r="G338" s="41">
        <f t="shared" si="20"/>
        <v>24138.7</v>
      </c>
      <c r="H338" s="41">
        <f t="shared" si="20"/>
        <v>92234.47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248750.10000000003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132376.93</v>
      </c>
      <c r="G352" s="41">
        <f>G338</f>
        <v>24138.7</v>
      </c>
      <c r="H352" s="41">
        <f>H338</f>
        <v>92234.47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248750.10000000003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203027*0.5</f>
        <v>101513.5</v>
      </c>
      <c r="I358" s="18"/>
      <c r="J358" s="18"/>
      <c r="K358" s="18"/>
      <c r="L358" s="13">
        <f>SUM(F358:K358)</f>
        <v>101513.5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f>203027-H358-H360+418.16</f>
        <v>34932.75</v>
      </c>
      <c r="I359" s="18"/>
      <c r="J359" s="18"/>
      <c r="K359" s="18"/>
      <c r="L359" s="19">
        <f>SUM(F359:K359)</f>
        <v>34932.75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f>203027*0.33</f>
        <v>66998.91</v>
      </c>
      <c r="I360" s="18"/>
      <c r="J360" s="18"/>
      <c r="K360" s="18"/>
      <c r="L360" s="19">
        <f>SUM(F360:K360)</f>
        <v>66998.91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203445.16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203445.16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0</v>
      </c>
      <c r="I395" s="18">
        <v>1670133</v>
      </c>
      <c r="J395" s="24" t="s">
        <v>289</v>
      </c>
      <c r="K395" s="24" t="s">
        <v>289</v>
      </c>
      <c r="L395" s="56">
        <f t="shared" ref="L395:L400" si="26">SUM(F395:K395)</f>
        <v>1670133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2333</v>
      </c>
      <c r="I396" s="18"/>
      <c r="J396" s="24" t="s">
        <v>289</v>
      </c>
      <c r="K396" s="24" t="s">
        <v>289</v>
      </c>
      <c r="L396" s="56">
        <f t="shared" si="26"/>
        <v>2333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1995</v>
      </c>
      <c r="I397" s="18"/>
      <c r="J397" s="24" t="s">
        <v>289</v>
      </c>
      <c r="K397" s="24" t="s">
        <v>289</v>
      </c>
      <c r="L397" s="56">
        <f t="shared" si="26"/>
        <v>1995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f>1283+350</f>
        <v>1633</v>
      </c>
      <c r="I400" s="18">
        <v>250</v>
      </c>
      <c r="J400" s="24" t="s">
        <v>289</v>
      </c>
      <c r="K400" s="24" t="s">
        <v>289</v>
      </c>
      <c r="L400" s="56">
        <f t="shared" si="26"/>
        <v>1883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5961</v>
      </c>
      <c r="I401" s="47">
        <f>SUM(I395:I400)</f>
        <v>1670383</v>
      </c>
      <c r="J401" s="45" t="s">
        <v>289</v>
      </c>
      <c r="K401" s="45" t="s">
        <v>289</v>
      </c>
      <c r="L401" s="47">
        <f>SUM(L395:L400)</f>
        <v>1676344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5961</v>
      </c>
      <c r="I408" s="47">
        <f>I393+I401+I407</f>
        <v>1670383</v>
      </c>
      <c r="J408" s="24" t="s">
        <v>289</v>
      </c>
      <c r="K408" s="24" t="s">
        <v>289</v>
      </c>
      <c r="L408" s="47">
        <f>L393+L401+L407</f>
        <v>1676344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>
        <v>1455441</v>
      </c>
      <c r="H421" s="18"/>
      <c r="I421" s="18"/>
      <c r="J421" s="18"/>
      <c r="K421" s="18"/>
      <c r="L421" s="56">
        <f t="shared" ref="L421:L426" si="29">SUM(F421:K421)</f>
        <v>1455441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f>2811</f>
        <v>2811</v>
      </c>
      <c r="I426" s="18"/>
      <c r="J426" s="18"/>
      <c r="K426" s="18"/>
      <c r="L426" s="56">
        <f t="shared" si="29"/>
        <v>2811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1455441</v>
      </c>
      <c r="H427" s="47">
        <f t="shared" si="30"/>
        <v>2811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1458252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1455441</v>
      </c>
      <c r="H434" s="47">
        <f t="shared" si="32"/>
        <v>2811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1458252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f>387547+394606+1031694+44011+16685</f>
        <v>1874543</v>
      </c>
      <c r="H440" s="18"/>
      <c r="I440" s="56">
        <f t="shared" si="33"/>
        <v>1874543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1874543</v>
      </c>
      <c r="H446" s="13">
        <f>SUM(H439:H445)</f>
        <v>0</v>
      </c>
      <c r="I446" s="13">
        <f>SUM(I439:I445)</f>
        <v>1874543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G440</f>
        <v>1874543</v>
      </c>
      <c r="H459" s="18"/>
      <c r="I459" s="56">
        <f t="shared" si="34"/>
        <v>1874543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1874543</v>
      </c>
      <c r="H460" s="83">
        <f>SUM(H454:H459)</f>
        <v>0</v>
      </c>
      <c r="I460" s="83">
        <f>SUM(I454:I459)</f>
        <v>1874543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1874543</v>
      </c>
      <c r="H461" s="42">
        <f>H452+H460</f>
        <v>0</v>
      </c>
      <c r="I461" s="42">
        <f>I452+I460</f>
        <v>1874543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611605.32999999996</v>
      </c>
      <c r="G465" s="18">
        <v>3290.58</v>
      </c>
      <c r="H465" s="18">
        <v>0</v>
      </c>
      <c r="I465" s="18">
        <v>0</v>
      </c>
      <c r="J465" s="18">
        <v>1706451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13495509.99</v>
      </c>
      <c r="G468" s="18">
        <v>203445.16</v>
      </c>
      <c r="H468" s="18">
        <v>248750.1</v>
      </c>
      <c r="I468" s="18"/>
      <c r="J468" s="18">
        <f>L408</f>
        <v>1676344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13495509.99</v>
      </c>
      <c r="G470" s="53">
        <f>SUM(G468:G469)</f>
        <v>203445.16</v>
      </c>
      <c r="H470" s="53">
        <f>SUM(H468:H469)</f>
        <v>248750.1</v>
      </c>
      <c r="I470" s="53">
        <f>SUM(I468:I469)</f>
        <v>0</v>
      </c>
      <c r="J470" s="53">
        <f>SUM(J468:J469)</f>
        <v>1676344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13275871.4</v>
      </c>
      <c r="G472" s="18">
        <v>203445.16</v>
      </c>
      <c r="H472" s="18">
        <v>248750.1</v>
      </c>
      <c r="I472" s="18"/>
      <c r="J472" s="18">
        <f>L434</f>
        <v>1458252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>
        <v>50000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13275871.4</v>
      </c>
      <c r="G474" s="53">
        <f>SUM(G472:G473)</f>
        <v>203445.16</v>
      </c>
      <c r="H474" s="53">
        <f>SUM(H472:H473)</f>
        <v>248750.1</v>
      </c>
      <c r="I474" s="53">
        <f>SUM(I472:I473)</f>
        <v>0</v>
      </c>
      <c r="J474" s="53">
        <f>SUM(J472:J473)</f>
        <v>1508252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831243.91999999993</v>
      </c>
      <c r="G476" s="53">
        <f>(G465+G470)- G474</f>
        <v>3290.5799999999872</v>
      </c>
      <c r="H476" s="53">
        <f>(H465+H470)- H474</f>
        <v>0</v>
      </c>
      <c r="I476" s="53">
        <f>(I465+I470)- I474</f>
        <v>0</v>
      </c>
      <c r="J476" s="53">
        <f>(J465+J470)- J474</f>
        <v>1874543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 t="s">
        <v>914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11362231</v>
      </c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3.98</v>
      </c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2734553.12</v>
      </c>
      <c r="G495" s="18"/>
      <c r="H495" s="18"/>
      <c r="I495" s="18"/>
      <c r="J495" s="18"/>
      <c r="K495" s="53">
        <f>SUM(F495:J495)</f>
        <v>2734553.12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0</v>
      </c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451132.46+459778.44+469313.26+478419.33</f>
        <v>1858643.4900000002</v>
      </c>
      <c r="G498" s="204"/>
      <c r="H498" s="204"/>
      <c r="I498" s="204"/>
      <c r="J498" s="204"/>
      <c r="K498" s="205">
        <f t="shared" si="35"/>
        <v>1858643.4900000002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36885.67+28239.69+18704.87+9598.8</f>
        <v>93429.03</v>
      </c>
      <c r="G499" s="18"/>
      <c r="H499" s="18"/>
      <c r="I499" s="18"/>
      <c r="J499" s="18"/>
      <c r="K499" s="53">
        <f t="shared" si="35"/>
        <v>93429.03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1952072.5200000003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1952072.5200000003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910912</v>
      </c>
      <c r="G501" s="204"/>
      <c r="H501" s="204"/>
      <c r="I501" s="204"/>
      <c r="J501" s="204"/>
      <c r="K501" s="205">
        <f t="shared" si="35"/>
        <v>910912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65126</v>
      </c>
      <c r="G502" s="18"/>
      <c r="H502" s="18"/>
      <c r="I502" s="18"/>
      <c r="J502" s="18"/>
      <c r="K502" s="53">
        <f t="shared" si="35"/>
        <v>65126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976038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976038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624667.63</v>
      </c>
      <c r="G521" s="18">
        <v>253872.34499999997</v>
      </c>
      <c r="H521" s="175">
        <v>26027.35</v>
      </c>
      <c r="I521" s="18">
        <v>39880.730000000003</v>
      </c>
      <c r="J521" s="18">
        <v>1164.8499999999999</v>
      </c>
      <c r="K521" s="18">
        <v>2132.71</v>
      </c>
      <c r="L521" s="88">
        <f>SUM(F521:K521)</f>
        <v>947745.61499999987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178516.22999999998</v>
      </c>
      <c r="G522" s="18">
        <v>63957.792900000015</v>
      </c>
      <c r="H522" s="175">
        <v>308697.51</v>
      </c>
      <c r="I522" s="18">
        <v>2452.16</v>
      </c>
      <c r="J522" s="18">
        <v>1536.44</v>
      </c>
      <c r="K522" s="18">
        <v>0</v>
      </c>
      <c r="L522" s="88">
        <f>SUM(F522:K522)</f>
        <v>555160.13289999997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370699.13</v>
      </c>
      <c r="G523" s="18">
        <v>163722.93210000001</v>
      </c>
      <c r="H523" s="18">
        <v>17927.990000000002</v>
      </c>
      <c r="I523" s="18">
        <v>444.42</v>
      </c>
      <c r="J523" s="18">
        <v>0</v>
      </c>
      <c r="K523" s="18">
        <v>0</v>
      </c>
      <c r="L523" s="88">
        <f>SUM(F523:K523)</f>
        <v>552794.47210000001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1173882.99</v>
      </c>
      <c r="G524" s="108">
        <f t="shared" ref="G524:L524" si="36">SUM(G521:G523)</f>
        <v>481553.06999999995</v>
      </c>
      <c r="H524" s="108">
        <f>SUM(H521:H523)</f>
        <v>352652.85</v>
      </c>
      <c r="I524" s="108">
        <f t="shared" si="36"/>
        <v>42777.31</v>
      </c>
      <c r="J524" s="108">
        <f t="shared" si="36"/>
        <v>2701.29</v>
      </c>
      <c r="K524" s="108">
        <f t="shared" si="36"/>
        <v>2132.71</v>
      </c>
      <c r="L524" s="89">
        <f t="shared" si="36"/>
        <v>2055700.2199999997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381800.46</v>
      </c>
      <c r="I526" s="18"/>
      <c r="J526" s="18"/>
      <c r="K526" s="18"/>
      <c r="L526" s="88">
        <f>SUM(F526:K526)</f>
        <v>381800.46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1345</v>
      </c>
      <c r="I527" s="18"/>
      <c r="J527" s="18"/>
      <c r="K527" s="18"/>
      <c r="L527" s="88">
        <f>SUM(F527:K527)</f>
        <v>1345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450</v>
      </c>
      <c r="I528" s="18"/>
      <c r="J528" s="18"/>
      <c r="K528" s="18"/>
      <c r="L528" s="88">
        <f>SUM(F528:K528)</f>
        <v>450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>SUM(H526:H528)</f>
        <v>383595.46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383595.46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139812*0.5</f>
        <v>69906</v>
      </c>
      <c r="G531" s="18">
        <f>59157.63*0.5</f>
        <v>29578.814999999999</v>
      </c>
      <c r="H531" s="18"/>
      <c r="I531" s="18"/>
      <c r="J531" s="18"/>
      <c r="K531" s="18"/>
      <c r="L531" s="88">
        <f>SUM(F531:K531)</f>
        <v>99484.815000000002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139812-F531-F533</f>
        <v>23768.04</v>
      </c>
      <c r="G532" s="18">
        <f>59157.63-G531-G533</f>
        <v>10056.7971</v>
      </c>
      <c r="H532" s="18"/>
      <c r="I532" s="18"/>
      <c r="J532" s="18"/>
      <c r="K532" s="18"/>
      <c r="L532" s="88">
        <f>SUM(F532:K532)</f>
        <v>33824.837100000004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139812*0.33</f>
        <v>46137.96</v>
      </c>
      <c r="G533" s="18">
        <f>59157.63*0.33</f>
        <v>19522.017899999999</v>
      </c>
      <c r="H533" s="18"/>
      <c r="I533" s="18"/>
      <c r="J533" s="18"/>
      <c r="K533" s="18"/>
      <c r="L533" s="88">
        <f>SUM(F533:K533)</f>
        <v>65659.977899999998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139812</v>
      </c>
      <c r="G534" s="89">
        <f t="shared" ref="G534:L534" si="38">SUM(G531:G533)</f>
        <v>59157.63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198969.63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>
        <v>1452</v>
      </c>
      <c r="L536" s="88">
        <f>SUM(F536:K536)</f>
        <v>1452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1452</v>
      </c>
      <c r="L539" s="89">
        <f t="shared" si="39"/>
        <v>1452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576.09</v>
      </c>
      <c r="I541" s="18"/>
      <c r="J541" s="18"/>
      <c r="K541" s="18"/>
      <c r="L541" s="88">
        <f>SUM(F541:K541)</f>
        <v>576.09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3989.44</v>
      </c>
      <c r="I542" s="18"/>
      <c r="J542" s="18"/>
      <c r="K542" s="18"/>
      <c r="L542" s="88">
        <f>SUM(F542:K542)</f>
        <v>3989.44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28734.62</v>
      </c>
      <c r="I543" s="18"/>
      <c r="J543" s="18"/>
      <c r="K543" s="18"/>
      <c r="L543" s="88">
        <f>SUM(F543:K543)</f>
        <v>28734.62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33300.15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33300.15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1313694.99</v>
      </c>
      <c r="G545" s="89">
        <f t="shared" ref="G545:L545" si="41">G524+G529+G534+G539+G544</f>
        <v>540710.69999999995</v>
      </c>
      <c r="H545" s="89">
        <f t="shared" si="41"/>
        <v>769548.46000000008</v>
      </c>
      <c r="I545" s="89">
        <f t="shared" si="41"/>
        <v>42777.31</v>
      </c>
      <c r="J545" s="89">
        <f t="shared" si="41"/>
        <v>2701.29</v>
      </c>
      <c r="K545" s="89">
        <f t="shared" si="41"/>
        <v>3584.71</v>
      </c>
      <c r="L545" s="89">
        <f t="shared" si="41"/>
        <v>2673017.4599999995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947745.61499999987</v>
      </c>
      <c r="G549" s="87">
        <f>L526</f>
        <v>381800.46</v>
      </c>
      <c r="H549" s="87">
        <f>L531</f>
        <v>99484.815000000002</v>
      </c>
      <c r="I549" s="87">
        <f>L536</f>
        <v>1452</v>
      </c>
      <c r="J549" s="87">
        <f>L541</f>
        <v>576.09</v>
      </c>
      <c r="K549" s="87">
        <f>SUM(F549:J549)</f>
        <v>1431058.98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555160.13289999997</v>
      </c>
      <c r="G550" s="87">
        <f>L527</f>
        <v>1345</v>
      </c>
      <c r="H550" s="87">
        <f>L532</f>
        <v>33824.837100000004</v>
      </c>
      <c r="I550" s="87">
        <f>L537</f>
        <v>0</v>
      </c>
      <c r="J550" s="87">
        <f>L542</f>
        <v>3989.44</v>
      </c>
      <c r="K550" s="87">
        <f>SUM(F550:J550)</f>
        <v>594319.40999999992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552794.47210000001</v>
      </c>
      <c r="G551" s="87">
        <f>L528</f>
        <v>450</v>
      </c>
      <c r="H551" s="87">
        <f>L533</f>
        <v>65659.977899999998</v>
      </c>
      <c r="I551" s="87">
        <f>L538</f>
        <v>0</v>
      </c>
      <c r="J551" s="87">
        <f>L543</f>
        <v>28734.62</v>
      </c>
      <c r="K551" s="87">
        <f>SUM(F551:J551)</f>
        <v>647639.06999999995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2055700.2199999997</v>
      </c>
      <c r="G552" s="89">
        <f t="shared" si="42"/>
        <v>383595.46</v>
      </c>
      <c r="H552" s="89">
        <f t="shared" si="42"/>
        <v>198969.63</v>
      </c>
      <c r="I552" s="89">
        <f t="shared" si="42"/>
        <v>1452</v>
      </c>
      <c r="J552" s="89">
        <f t="shared" si="42"/>
        <v>33300.15</v>
      </c>
      <c r="K552" s="89">
        <f t="shared" si="42"/>
        <v>2673017.46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>
        <v>968</v>
      </c>
      <c r="H562" s="18"/>
      <c r="I562" s="18">
        <v>247.5</v>
      </c>
      <c r="J562" s="18"/>
      <c r="K562" s="18"/>
      <c r="L562" s="88">
        <f>SUM(F562:K562)</f>
        <v>1215.5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21210.5</v>
      </c>
      <c r="G563" s="18">
        <f>1622.64+3323.59</f>
        <v>4946.2300000000005</v>
      </c>
      <c r="H563" s="18"/>
      <c r="I563" s="18"/>
      <c r="J563" s="18"/>
      <c r="K563" s="18"/>
      <c r="L563" s="88">
        <f>SUM(F563:K563)</f>
        <v>26156.73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21210.5</v>
      </c>
      <c r="G565" s="89">
        <f t="shared" si="44"/>
        <v>5914.2300000000005</v>
      </c>
      <c r="H565" s="89">
        <f t="shared" si="44"/>
        <v>0</v>
      </c>
      <c r="I565" s="89">
        <f t="shared" si="44"/>
        <v>247.5</v>
      </c>
      <c r="J565" s="89">
        <f t="shared" si="44"/>
        <v>0</v>
      </c>
      <c r="K565" s="89">
        <f t="shared" si="44"/>
        <v>0</v>
      </c>
      <c r="L565" s="89">
        <f t="shared" si="44"/>
        <v>27372.23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21210.5</v>
      </c>
      <c r="G571" s="89">
        <f t="shared" ref="G571:L571" si="46">G560+G565+G570</f>
        <v>5914.2300000000005</v>
      </c>
      <c r="H571" s="89">
        <f t="shared" si="46"/>
        <v>0</v>
      </c>
      <c r="I571" s="89">
        <f t="shared" si="46"/>
        <v>247.5</v>
      </c>
      <c r="J571" s="89">
        <f t="shared" si="46"/>
        <v>0</v>
      </c>
      <c r="K571" s="89">
        <f t="shared" si="46"/>
        <v>0</v>
      </c>
      <c r="L571" s="89">
        <f t="shared" si="46"/>
        <v>27372.23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26027.35</v>
      </c>
      <c r="G582" s="18">
        <v>308697.51</v>
      </c>
      <c r="H582" s="18">
        <v>17927.990000000002</v>
      </c>
      <c r="I582" s="87">
        <f t="shared" si="47"/>
        <v>352652.85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35727.56</v>
      </c>
      <c r="I584" s="87">
        <f t="shared" si="47"/>
        <v>35727.56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129983.55</v>
      </c>
      <c r="I591" s="18">
        <v>44846.52</v>
      </c>
      <c r="J591" s="18">
        <v>89693.13</v>
      </c>
      <c r="K591" s="104">
        <f t="shared" ref="K591:K597" si="48">SUM(H591:J591)</f>
        <v>264523.2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576.09</v>
      </c>
      <c r="I592" s="18">
        <v>3989.44</v>
      </c>
      <c r="J592" s="18">
        <v>28734.62</v>
      </c>
      <c r="K592" s="104">
        <f t="shared" si="48"/>
        <v>33300.15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75066.8</v>
      </c>
      <c r="K593" s="104">
        <f t="shared" si="48"/>
        <v>75066.8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21476</v>
      </c>
      <c r="J594" s="18">
        <v>41603.839999999997</v>
      </c>
      <c r="K594" s="104">
        <f t="shared" si="48"/>
        <v>63079.839999999997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12787.48+84</f>
        <v>12871.48</v>
      </c>
      <c r="I595" s="18">
        <f>2547.89+752.46</f>
        <v>3300.35</v>
      </c>
      <c r="J595" s="18">
        <f>7121.83+1314.88</f>
        <v>8436.7099999999991</v>
      </c>
      <c r="K595" s="104">
        <f t="shared" si="48"/>
        <v>24608.54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105</v>
      </c>
      <c r="I597" s="18">
        <v>31.66</v>
      </c>
      <c r="J597" s="18">
        <v>93.34</v>
      </c>
      <c r="K597" s="104">
        <f t="shared" si="48"/>
        <v>230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143536.12</v>
      </c>
      <c r="I598" s="108">
        <f>SUM(I591:I597)</f>
        <v>73643.97</v>
      </c>
      <c r="J598" s="108">
        <f>SUM(J591:J597)</f>
        <v>243628.43999999997</v>
      </c>
      <c r="K598" s="108">
        <f>SUM(K591:K597)</f>
        <v>460808.52999999997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</f>
        <v>107301.04999999999</v>
      </c>
      <c r="I604" s="18">
        <f>J229</f>
        <v>40025.32</v>
      </c>
      <c r="J604" s="18">
        <f>J247</f>
        <v>65654.73</v>
      </c>
      <c r="K604" s="104">
        <f>SUM(H604:J604)</f>
        <v>212981.09999999998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107301.04999999999</v>
      </c>
      <c r="I605" s="108">
        <f>SUM(I602:I604)</f>
        <v>40025.32</v>
      </c>
      <c r="J605" s="108">
        <f>SUM(J602:J604)</f>
        <v>65654.73</v>
      </c>
      <c r="K605" s="108">
        <f>SUM(K602:K604)</f>
        <v>212981.09999999998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12109.37</v>
      </c>
      <c r="G611" s="18">
        <f>926.37+1897.54</f>
        <v>2823.91</v>
      </c>
      <c r="H611" s="18"/>
      <c r="I611" s="18"/>
      <c r="J611" s="18"/>
      <c r="K611" s="18"/>
      <c r="L611" s="88">
        <f>SUM(F611:K611)</f>
        <v>14933.28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4922.64-F613</f>
        <v>1673.6976</v>
      </c>
      <c r="G612" s="18">
        <f>F612*0.2332</f>
        <v>390.30628031999998</v>
      </c>
      <c r="H612" s="18"/>
      <c r="I612" s="18"/>
      <c r="J612" s="18"/>
      <c r="K612" s="18"/>
      <c r="L612" s="88">
        <f>SUM(F612:K612)</f>
        <v>2064.00388032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4922.64*0.66</f>
        <v>3248.9424000000004</v>
      </c>
      <c r="G613" s="18">
        <f>F613*0.2332</f>
        <v>757.65336768000009</v>
      </c>
      <c r="H613" s="18"/>
      <c r="I613" s="18"/>
      <c r="J613" s="18"/>
      <c r="K613" s="18"/>
      <c r="L613" s="88">
        <f>SUM(F613:K613)</f>
        <v>4006.5957676800003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17032.010000000002</v>
      </c>
      <c r="G614" s="108">
        <f t="shared" si="49"/>
        <v>3971.8696479999999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21003.879647999998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1491493.04</v>
      </c>
      <c r="H617" s="109">
        <f>SUM(F52)</f>
        <v>1491493.04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25082.37</v>
      </c>
      <c r="H618" s="109">
        <f>SUM(G52)</f>
        <v>25082.370000000003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221543.43</v>
      </c>
      <c r="H619" s="109">
        <f>SUM(H52)</f>
        <v>221543.43000000002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1874543</v>
      </c>
      <c r="H621" s="109">
        <f>SUM(J52)</f>
        <v>1874543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831243.92</v>
      </c>
      <c r="H622" s="109">
        <f>F476</f>
        <v>831243.91999999993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3290.58</v>
      </c>
      <c r="H623" s="109">
        <f>G476</f>
        <v>3290.5799999999872</v>
      </c>
      <c r="I623" s="121" t="s">
        <v>102</v>
      </c>
      <c r="J623" s="109">
        <f t="shared" si="50"/>
        <v>1.2732925824820995E-11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1874543</v>
      </c>
      <c r="H626" s="109">
        <f>J476</f>
        <v>1874543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13495509.990000002</v>
      </c>
      <c r="H627" s="104">
        <f>SUM(F468)</f>
        <v>13495509.99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203445.15999999997</v>
      </c>
      <c r="H628" s="104">
        <f>SUM(G468)</f>
        <v>203445.16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248750.1</v>
      </c>
      <c r="H629" s="104">
        <f>SUM(H468)</f>
        <v>248750.1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1676344</v>
      </c>
      <c r="H631" s="104">
        <f>SUM(J468)</f>
        <v>1676344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13275871.4</v>
      </c>
      <c r="H632" s="104">
        <f>SUM(F472)</f>
        <v>13275871.4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248750.10000000003</v>
      </c>
      <c r="H633" s="104">
        <f>SUM(H472)</f>
        <v>248750.1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203445.16</v>
      </c>
      <c r="H635" s="104">
        <f>SUM(G472)</f>
        <v>203445.16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1676344</v>
      </c>
      <c r="H637" s="164">
        <f>SUM(J468)</f>
        <v>1676344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1458252</v>
      </c>
      <c r="H638" s="164">
        <f>SUM(J472)</f>
        <v>1458252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1874543</v>
      </c>
      <c r="H640" s="104">
        <f>SUM(G461)</f>
        <v>1874543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1874543</v>
      </c>
      <c r="H642" s="104">
        <f>SUM(I461)</f>
        <v>1874543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5961</v>
      </c>
      <c r="H644" s="104">
        <f>H408</f>
        <v>5961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1676344</v>
      </c>
      <c r="H646" s="104">
        <f>L408</f>
        <v>1676344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460808.52999999997</v>
      </c>
      <c r="H647" s="104">
        <f>L208+L226+L244</f>
        <v>460808.53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212981.09999999998</v>
      </c>
      <c r="H648" s="104">
        <f>(J257+J338)-(J255+J336)</f>
        <v>212981.09999999998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143536.12</v>
      </c>
      <c r="H649" s="104">
        <f>H598</f>
        <v>143536.12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73643.97</v>
      </c>
      <c r="H650" s="104">
        <f>I598</f>
        <v>73643.97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243628.44</v>
      </c>
      <c r="H651" s="104">
        <f>J598</f>
        <v>243628.43999999997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2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5590448.5299999993</v>
      </c>
      <c r="G660" s="19">
        <f>(L229+L309+L359)</f>
        <v>2420578.7800000003</v>
      </c>
      <c r="H660" s="19">
        <f>(L247+L328+L360)</f>
        <v>4741003.3500000006</v>
      </c>
      <c r="I660" s="19">
        <f>SUM(F660:H660)</f>
        <v>12752030.66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61721.242229871677</v>
      </c>
      <c r="G661" s="19">
        <f>(L359/IF(SUM(L358:L360)=0,1,SUM(L358:L360))*(SUM(G97:G110)))</f>
        <v>21239.467898413019</v>
      </c>
      <c r="H661" s="19">
        <f>(L360/IF(SUM(L358:L360)=0,1,SUM(L358:L360))*(SUM(G97:G110)))</f>
        <v>40736.019871715303</v>
      </c>
      <c r="I661" s="19">
        <f>SUM(F661:H661)</f>
        <v>123696.73000000001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143536.12</v>
      </c>
      <c r="G662" s="19">
        <f>(L226+L306)-(J226+J306)</f>
        <v>73643.97</v>
      </c>
      <c r="H662" s="19">
        <f>(L244+L325)-(J244+J325)</f>
        <v>243628.44</v>
      </c>
      <c r="I662" s="19">
        <f>SUM(F662:H662)</f>
        <v>460808.53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148261.68</v>
      </c>
      <c r="G663" s="199">
        <f>SUM(G575:G587)+SUM(I602:I604)+L612</f>
        <v>350786.83388032002</v>
      </c>
      <c r="H663" s="199">
        <f>SUM(H575:H587)+SUM(J602:J604)+L613</f>
        <v>123316.87576768</v>
      </c>
      <c r="I663" s="19">
        <f>SUM(F663:H663)</f>
        <v>622365.38964800001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5236929.4877701281</v>
      </c>
      <c r="G664" s="19">
        <f>G660-SUM(G661:G663)</f>
        <v>1974908.5082212673</v>
      </c>
      <c r="H664" s="19">
        <f>H660-SUM(H661:H663)</f>
        <v>4333322.0143606048</v>
      </c>
      <c r="I664" s="19">
        <f>I660-SUM(I661:I663)</f>
        <v>11545160.010352001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240.6</v>
      </c>
      <c r="G665" s="248">
        <v>78.75</v>
      </c>
      <c r="H665" s="248">
        <v>183.06</v>
      </c>
      <c r="I665" s="19">
        <f>SUM(F665:H665)</f>
        <v>502.41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21766.12</v>
      </c>
      <c r="G667" s="19">
        <f>ROUND(G664/G665,2)</f>
        <v>25078.2</v>
      </c>
      <c r="H667" s="19">
        <f>ROUND(H664/H665,2)</f>
        <v>23671.59</v>
      </c>
      <c r="I667" s="19">
        <f>ROUND(I664/I665,2)</f>
        <v>22979.56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-4.28</v>
      </c>
      <c r="I670" s="19">
        <f>SUM(F670:H670)</f>
        <v>-4.28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21766.12</v>
      </c>
      <c r="G672" s="19">
        <f>ROUND((G664+G669)/(G665+G670),2)</f>
        <v>25078.2</v>
      </c>
      <c r="H672" s="19">
        <f>ROUND((H664+H669)/(H665+H670),2)</f>
        <v>24238.29</v>
      </c>
      <c r="I672" s="19">
        <f>ROUND((I664+I669)/(I665+I670),2)</f>
        <v>23177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Moultonborough</v>
      </c>
      <c r="C1" s="238" t="s">
        <v>839</v>
      </c>
    </row>
    <row r="2" spans="1:3" x14ac:dyDescent="0.2">
      <c r="A2" s="233"/>
      <c r="B2" s="232"/>
    </row>
    <row r="3" spans="1:3" x14ac:dyDescent="0.2">
      <c r="A3" s="276" t="s">
        <v>784</v>
      </c>
      <c r="B3" s="276"/>
      <c r="C3" s="276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5" t="s">
        <v>783</v>
      </c>
      <c r="C6" s="275"/>
    </row>
    <row r="7" spans="1:3" x14ac:dyDescent="0.2">
      <c r="A7" s="239" t="s">
        <v>786</v>
      </c>
      <c r="B7" s="273" t="s">
        <v>782</v>
      </c>
      <c r="C7" s="274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3356303.43</v>
      </c>
      <c r="C9" s="229">
        <f>'DOE25'!G197+'DOE25'!G215+'DOE25'!G233+'DOE25'!G276+'DOE25'!G295+'DOE25'!G314</f>
        <v>1623998.38</v>
      </c>
    </row>
    <row r="10" spans="1:3" x14ac:dyDescent="0.2">
      <c r="A10" t="s">
        <v>779</v>
      </c>
      <c r="B10" s="240">
        <v>3012184.13</v>
      </c>
      <c r="C10" s="240">
        <v>1466323.34</v>
      </c>
    </row>
    <row r="11" spans="1:3" x14ac:dyDescent="0.2">
      <c r="A11" t="s">
        <v>780</v>
      </c>
      <c r="B11" s="240">
        <v>250730.77999999997</v>
      </c>
      <c r="C11" s="240">
        <v>150530.82</v>
      </c>
    </row>
    <row r="12" spans="1:3" x14ac:dyDescent="0.2">
      <c r="A12" t="s">
        <v>781</v>
      </c>
      <c r="B12" s="240">
        <v>93388.51999999999</v>
      </c>
      <c r="C12" s="240">
        <v>7144.22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3356303.4299999997</v>
      </c>
      <c r="C13" s="231">
        <f>SUM(C10:C12)</f>
        <v>1623998.3800000001</v>
      </c>
    </row>
    <row r="14" spans="1:3" x14ac:dyDescent="0.2">
      <c r="B14" s="230"/>
      <c r="C14" s="230"/>
    </row>
    <row r="15" spans="1:3" x14ac:dyDescent="0.2">
      <c r="B15" s="275" t="s">
        <v>783</v>
      </c>
      <c r="C15" s="275"/>
    </row>
    <row r="16" spans="1:3" x14ac:dyDescent="0.2">
      <c r="A16" s="239" t="s">
        <v>787</v>
      </c>
      <c r="B16" s="273" t="s">
        <v>707</v>
      </c>
      <c r="C16" s="274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1334905.49</v>
      </c>
      <c r="C18" s="229">
        <f>'DOE25'!G198+'DOE25'!G216+'DOE25'!G234+'DOE25'!G277+'DOE25'!G296+'DOE25'!G315</f>
        <v>546624.93000000005</v>
      </c>
    </row>
    <row r="19" spans="1:3" x14ac:dyDescent="0.2">
      <c r="A19" t="s">
        <v>779</v>
      </c>
      <c r="B19" s="240">
        <v>784106.06</v>
      </c>
      <c r="C19" s="240">
        <v>358967.53</v>
      </c>
    </row>
    <row r="20" spans="1:3" x14ac:dyDescent="0.2">
      <c r="A20" t="s">
        <v>780</v>
      </c>
      <c r="B20" s="240">
        <v>504229.03</v>
      </c>
      <c r="C20" s="240">
        <v>169873.85</v>
      </c>
    </row>
    <row r="21" spans="1:3" x14ac:dyDescent="0.2">
      <c r="A21" t="s">
        <v>781</v>
      </c>
      <c r="B21" s="240">
        <v>46570.400000000001</v>
      </c>
      <c r="C21" s="240">
        <v>17783.55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1334905.49</v>
      </c>
      <c r="C22" s="231">
        <f>SUM(C19:C21)</f>
        <v>546624.93000000005</v>
      </c>
    </row>
    <row r="23" spans="1:3" x14ac:dyDescent="0.2">
      <c r="B23" s="230"/>
      <c r="C23" s="230"/>
    </row>
    <row r="24" spans="1:3" x14ac:dyDescent="0.2">
      <c r="B24" s="275" t="s">
        <v>783</v>
      </c>
      <c r="C24" s="275"/>
    </row>
    <row r="25" spans="1:3" x14ac:dyDescent="0.2">
      <c r="A25" s="239" t="s">
        <v>788</v>
      </c>
      <c r="B25" s="273" t="s">
        <v>708</v>
      </c>
      <c r="C25" s="274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11911.759999999998</v>
      </c>
      <c r="C27" s="234">
        <f>'DOE25'!G199+'DOE25'!G217+'DOE25'!G235+'DOE25'!G278+'DOE25'!G297+'DOE25'!G316</f>
        <v>4393.18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11911.76</v>
      </c>
      <c r="C30" s="240">
        <v>4393.18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11911.76</v>
      </c>
      <c r="C31" s="231">
        <f>SUM(C28:C30)</f>
        <v>4393.18</v>
      </c>
    </row>
    <row r="33" spans="1:3" x14ac:dyDescent="0.2">
      <c r="B33" s="275" t="s">
        <v>783</v>
      </c>
      <c r="C33" s="275"/>
    </row>
    <row r="34" spans="1:3" x14ac:dyDescent="0.2">
      <c r="A34" s="239" t="s">
        <v>789</v>
      </c>
      <c r="B34" s="273" t="s">
        <v>709</v>
      </c>
      <c r="C34" s="274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180363.84</v>
      </c>
      <c r="C36" s="235">
        <f>'DOE25'!G200+'DOE25'!G218+'DOE25'!G236+'DOE25'!G279+'DOE25'!G298+'DOE25'!G317</f>
        <v>28354.300000000003</v>
      </c>
    </row>
    <row r="37" spans="1:3" x14ac:dyDescent="0.2">
      <c r="A37" t="s">
        <v>779</v>
      </c>
      <c r="B37" s="240">
        <v>180363.84</v>
      </c>
      <c r="C37" s="240">
        <v>28354.3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180363.84</v>
      </c>
      <c r="C40" s="231">
        <f>SUM(C37:C39)</f>
        <v>28354.3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717</v>
      </c>
      <c r="B2" s="265" t="str">
        <f>'DOE25'!A2</f>
        <v>Moultonborough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7983405.209999999</v>
      </c>
      <c r="D5" s="20">
        <f>SUM('DOE25'!L197:L200)+SUM('DOE25'!L215:L218)+SUM('DOE25'!L233:L236)-F5-G5</f>
        <v>7937154.7899999991</v>
      </c>
      <c r="E5" s="243"/>
      <c r="F5" s="255">
        <f>SUM('DOE25'!J197:J200)+SUM('DOE25'!J215:J218)+SUM('DOE25'!J233:J236)</f>
        <v>31024.079999999998</v>
      </c>
      <c r="G5" s="53">
        <f>SUM('DOE25'!K197:K200)+SUM('DOE25'!K215:K218)+SUM('DOE25'!K233:K236)</f>
        <v>15226.34</v>
      </c>
      <c r="H5" s="259"/>
    </row>
    <row r="6" spans="1:9" x14ac:dyDescent="0.2">
      <c r="A6" s="32">
        <v>2100</v>
      </c>
      <c r="B6" t="s">
        <v>801</v>
      </c>
      <c r="C6" s="245">
        <f t="shared" si="0"/>
        <v>428297.08000000007</v>
      </c>
      <c r="D6" s="20">
        <f>'DOE25'!L202+'DOE25'!L220+'DOE25'!L238-F6-G6</f>
        <v>428175.20000000007</v>
      </c>
      <c r="E6" s="243"/>
      <c r="F6" s="255">
        <f>'DOE25'!J202+'DOE25'!J220+'DOE25'!J238</f>
        <v>81.88</v>
      </c>
      <c r="G6" s="53">
        <f>'DOE25'!K202+'DOE25'!K220+'DOE25'!K238</f>
        <v>40</v>
      </c>
      <c r="H6" s="259"/>
    </row>
    <row r="7" spans="1:9" x14ac:dyDescent="0.2">
      <c r="A7" s="32">
        <v>2200</v>
      </c>
      <c r="B7" t="s">
        <v>834</v>
      </c>
      <c r="C7" s="245">
        <f t="shared" si="0"/>
        <v>979645.08</v>
      </c>
      <c r="D7" s="20">
        <f>'DOE25'!L203+'DOE25'!L221+'DOE25'!L239-F7-G7</f>
        <v>823295.75</v>
      </c>
      <c r="E7" s="243"/>
      <c r="F7" s="255">
        <f>'DOE25'!J203+'DOE25'!J221+'DOE25'!J239</f>
        <v>151217.84</v>
      </c>
      <c r="G7" s="53">
        <f>'DOE25'!K203+'DOE25'!K221+'DOE25'!K239</f>
        <v>5131.49</v>
      </c>
      <c r="H7" s="259"/>
    </row>
    <row r="8" spans="1:9" x14ac:dyDescent="0.2">
      <c r="A8" s="32">
        <v>2300</v>
      </c>
      <c r="B8" t="s">
        <v>802</v>
      </c>
      <c r="C8" s="245">
        <f t="shared" si="0"/>
        <v>244947.48</v>
      </c>
      <c r="D8" s="243"/>
      <c r="E8" s="20">
        <f>'DOE25'!L204+'DOE25'!L222+'DOE25'!L240-F8-G8-D9-D11</f>
        <v>215629.75</v>
      </c>
      <c r="F8" s="255">
        <f>'DOE25'!J204+'DOE25'!J222+'DOE25'!J240</f>
        <v>0</v>
      </c>
      <c r="G8" s="53">
        <f>'DOE25'!K204+'DOE25'!K222+'DOE25'!K240</f>
        <v>29317.730000000003</v>
      </c>
      <c r="H8" s="259"/>
    </row>
    <row r="9" spans="1:9" x14ac:dyDescent="0.2">
      <c r="A9" s="32">
        <v>2310</v>
      </c>
      <c r="B9" t="s">
        <v>818</v>
      </c>
      <c r="C9" s="245">
        <f t="shared" si="0"/>
        <v>53836.31</v>
      </c>
      <c r="D9" s="244">
        <v>53836.31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9000</v>
      </c>
      <c r="D10" s="243"/>
      <c r="E10" s="244">
        <v>9000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242899.93</v>
      </c>
      <c r="D11" s="244">
        <f>160398+82501.93</f>
        <v>242899.93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631596.37999999989</v>
      </c>
      <c r="D12" s="20">
        <f>'DOE25'!L205+'DOE25'!L223+'DOE25'!L241-F12-G12</f>
        <v>621999.1399999999</v>
      </c>
      <c r="E12" s="243"/>
      <c r="F12" s="255">
        <f>'DOE25'!J205+'DOE25'!J223+'DOE25'!J241</f>
        <v>299.99</v>
      </c>
      <c r="G12" s="53">
        <f>'DOE25'!K205+'DOE25'!K223+'DOE25'!K241</f>
        <v>9297.25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1274399.3999999999</v>
      </c>
      <c r="D14" s="20">
        <f>'DOE25'!L207+'DOE25'!L225+'DOE25'!L243-F14-G14</f>
        <v>1244042.0899999999</v>
      </c>
      <c r="E14" s="243"/>
      <c r="F14" s="255">
        <f>'DOE25'!J207+'DOE25'!J225+'DOE25'!J243</f>
        <v>30357.309999999998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460808.53</v>
      </c>
      <c r="D15" s="20">
        <f>'DOE25'!L208+'DOE25'!L226+'DOE25'!L244-F15-G15</f>
        <v>460808.53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976036</v>
      </c>
      <c r="D25" s="243"/>
      <c r="E25" s="243"/>
      <c r="F25" s="258"/>
      <c r="G25" s="256"/>
      <c r="H25" s="257">
        <f>'DOE25'!L260+'DOE25'!L261+'DOE25'!L341+'DOE25'!L342</f>
        <v>976036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203445.16</v>
      </c>
      <c r="D29" s="20">
        <f>'DOE25'!L358+'DOE25'!L359+'DOE25'!L360-'DOE25'!I367-F29-G29</f>
        <v>203445.16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248750.10000000003</v>
      </c>
      <c r="D31" s="20">
        <f>'DOE25'!L290+'DOE25'!L309+'DOE25'!L328+'DOE25'!L333+'DOE25'!L334+'DOE25'!L335-F31-G31</f>
        <v>248750.10000000003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12264406.999999998</v>
      </c>
      <c r="E33" s="246">
        <f>SUM(E5:E31)</f>
        <v>224629.75</v>
      </c>
      <c r="F33" s="246">
        <f>SUM(F5:F31)</f>
        <v>212981.09999999998</v>
      </c>
      <c r="G33" s="246">
        <f>SUM(G5:G31)</f>
        <v>59012.810000000005</v>
      </c>
      <c r="H33" s="246">
        <f>SUM(H5:H31)</f>
        <v>976036</v>
      </c>
    </row>
    <row r="35" spans="2:8" ht="12" thickBot="1" x14ac:dyDescent="0.25">
      <c r="B35" s="253" t="s">
        <v>847</v>
      </c>
      <c r="D35" s="254">
        <f>E33</f>
        <v>224629.75</v>
      </c>
      <c r="E35" s="249"/>
    </row>
    <row r="36" spans="2:8" ht="12" thickTop="1" x14ac:dyDescent="0.2">
      <c r="B36" t="s">
        <v>815</v>
      </c>
      <c r="D36" s="20">
        <f>D33</f>
        <v>12264406.999999998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Moultonborough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1491493.04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1874543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14170.32</v>
      </c>
      <c r="E12" s="95">
        <f>'DOE25'!H13</f>
        <v>221543.43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10912.05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1491493.04</v>
      </c>
      <c r="D18" s="41">
        <f>SUM(D8:D17)</f>
        <v>25082.37</v>
      </c>
      <c r="E18" s="41">
        <f>SUM(E8:E17)</f>
        <v>221543.43</v>
      </c>
      <c r="F18" s="41">
        <f>SUM(F8:F17)</f>
        <v>0</v>
      </c>
      <c r="G18" s="41">
        <f>SUM(G8:G17)</f>
        <v>1874543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652343.88</v>
      </c>
      <c r="D21" s="95">
        <f>'DOE25'!G22</f>
        <v>21791.79</v>
      </c>
      <c r="E21" s="95">
        <f>'DOE25'!H22</f>
        <v>209164.92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12378.51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7905.24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660249.12</v>
      </c>
      <c r="D31" s="41">
        <f>SUM(D21:D30)</f>
        <v>21791.79</v>
      </c>
      <c r="E31" s="41">
        <f>SUM(E21:E30)</f>
        <v>221543.43000000002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200000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3290.58</v>
      </c>
      <c r="E47" s="95">
        <f>'DOE25'!H48</f>
        <v>0</v>
      </c>
      <c r="F47" s="95">
        <f>'DOE25'!I48</f>
        <v>0</v>
      </c>
      <c r="G47" s="95">
        <f>'DOE25'!J48</f>
        <v>1874543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380128.89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126115.03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831243.92</v>
      </c>
      <c r="D50" s="41">
        <f>SUM(D34:D49)</f>
        <v>3290.58</v>
      </c>
      <c r="E50" s="41">
        <f>SUM(E34:E49)</f>
        <v>0</v>
      </c>
      <c r="F50" s="41">
        <f>SUM(F34:F49)</f>
        <v>0</v>
      </c>
      <c r="G50" s="41">
        <f>SUM(G34:G49)</f>
        <v>1874543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1491493.04</v>
      </c>
      <c r="D51" s="41">
        <f>D50+D31</f>
        <v>25082.370000000003</v>
      </c>
      <c r="E51" s="41">
        <f>E50+E31</f>
        <v>221543.43000000002</v>
      </c>
      <c r="F51" s="41">
        <f>F50+F31</f>
        <v>0</v>
      </c>
      <c r="G51" s="41">
        <f>G50+G31</f>
        <v>1874543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6018128.0099999998</v>
      </c>
      <c r="D56" s="95">
        <f>'DOE25'!G60</f>
        <v>0</v>
      </c>
      <c r="E56" s="95">
        <f>'DOE25'!H60</f>
        <v>5185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14473.68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2072.5100000000002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5961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123696.73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1127.43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1670383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17673.620000000003</v>
      </c>
      <c r="D62" s="130">
        <f>SUM(D57:D61)</f>
        <v>123696.73</v>
      </c>
      <c r="E62" s="130">
        <f>SUM(E57:E61)</f>
        <v>0</v>
      </c>
      <c r="F62" s="130">
        <f>SUM(F57:F61)</f>
        <v>0</v>
      </c>
      <c r="G62" s="130">
        <f>SUM(G57:G61)</f>
        <v>1676344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6035801.6299999999</v>
      </c>
      <c r="D63" s="22">
        <f>D56+D62</f>
        <v>123696.73</v>
      </c>
      <c r="E63" s="22">
        <f>E56+E62</f>
        <v>5185</v>
      </c>
      <c r="F63" s="22">
        <f>F56+F62</f>
        <v>0</v>
      </c>
      <c r="G63" s="22">
        <f>G56+G62</f>
        <v>1676344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6862731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6862731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281299.37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202869.68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6231.6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2931.06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490400.64999999997</v>
      </c>
      <c r="D78" s="130">
        <f>SUM(D72:D77)</f>
        <v>2931.06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7353131.6500000004</v>
      </c>
      <c r="D81" s="130">
        <f>SUM(D79:D80)+D78+D70</f>
        <v>2931.06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106576.71</v>
      </c>
      <c r="D88" s="95">
        <f>SUM('DOE25'!G153:G161)</f>
        <v>76817.37</v>
      </c>
      <c r="E88" s="95">
        <f>SUM('DOE25'!H153:H161)</f>
        <v>243565.1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106576.71</v>
      </c>
      <c r="D91" s="131">
        <f>SUM(D85:D90)</f>
        <v>76817.37</v>
      </c>
      <c r="E91" s="131">
        <f>SUM(E85:E90)</f>
        <v>243565.1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13495509.990000002</v>
      </c>
      <c r="D104" s="86">
        <f>D63+D81+D91+D103</f>
        <v>203445.15999999997</v>
      </c>
      <c r="E104" s="86">
        <f>E63+E81+E91+E103</f>
        <v>248750.1</v>
      </c>
      <c r="F104" s="86">
        <f>F63+F81+F91+F103</f>
        <v>0</v>
      </c>
      <c r="G104" s="86">
        <f>G63+G81+G103</f>
        <v>1676344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5075801.49</v>
      </c>
      <c r="D109" s="24" t="s">
        <v>289</v>
      </c>
      <c r="E109" s="95">
        <f>('DOE25'!L276)+('DOE25'!L295)+('DOE25'!L314)</f>
        <v>82119.64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2510105.96</v>
      </c>
      <c r="D110" s="24" t="s">
        <v>289</v>
      </c>
      <c r="E110" s="95">
        <f>('DOE25'!L277)+('DOE25'!L296)+('DOE25'!L315)</f>
        <v>128481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62640.4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334857.36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7983405.2100000009</v>
      </c>
      <c r="D115" s="86">
        <f>SUM(D109:D114)</f>
        <v>0</v>
      </c>
      <c r="E115" s="86">
        <f>SUM(E109:E114)</f>
        <v>210600.64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428297.08000000007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979645.08</v>
      </c>
      <c r="D119" s="24" t="s">
        <v>289</v>
      </c>
      <c r="E119" s="95">
        <f>+('DOE25'!L282)+('DOE25'!L301)+('DOE25'!L320)</f>
        <v>38149.460000000006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541683.72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631596.37999999989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1274399.3999999999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460808.53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203445.16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4316430.1899999995</v>
      </c>
      <c r="D128" s="86">
        <f>SUM(D118:D127)</f>
        <v>203445.16</v>
      </c>
      <c r="E128" s="86">
        <f>SUM(E118:E127)</f>
        <v>38149.460000000006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875909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100127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1676344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-1676344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976036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13275871.4</v>
      </c>
      <c r="D145" s="86">
        <f>(D115+D128+D144)</f>
        <v>203445.16</v>
      </c>
      <c r="E145" s="86">
        <f>(E115+E128+E144)</f>
        <v>248750.10000000003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4/2003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1/2018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11362231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3.98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2734553.12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2734553.12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1858643.4900000002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1858643.4900000002</v>
      </c>
    </row>
    <row r="160" spans="1:9" x14ac:dyDescent="0.2">
      <c r="A160" s="22" t="s">
        <v>36</v>
      </c>
      <c r="B160" s="137">
        <f>'DOE25'!F499</f>
        <v>93429.03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93429.03</v>
      </c>
    </row>
    <row r="161" spans="1:7" x14ac:dyDescent="0.2">
      <c r="A161" s="22" t="s">
        <v>37</v>
      </c>
      <c r="B161" s="137">
        <f>'DOE25'!F500</f>
        <v>1952072.5200000003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1952072.5200000003</v>
      </c>
    </row>
    <row r="162" spans="1:7" x14ac:dyDescent="0.2">
      <c r="A162" s="22" t="s">
        <v>38</v>
      </c>
      <c r="B162" s="137">
        <f>'DOE25'!F501</f>
        <v>910912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910912</v>
      </c>
    </row>
    <row r="163" spans="1:7" x14ac:dyDescent="0.2">
      <c r="A163" s="22" t="s">
        <v>39</v>
      </c>
      <c r="B163" s="137">
        <f>'DOE25'!F502</f>
        <v>65126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65126</v>
      </c>
    </row>
    <row r="164" spans="1:7" x14ac:dyDescent="0.2">
      <c r="A164" s="22" t="s">
        <v>246</v>
      </c>
      <c r="B164" s="137">
        <f>'DOE25'!F503</f>
        <v>976038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976038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27" sqref="C2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7" t="s">
        <v>717</v>
      </c>
      <c r="B2" s="186" t="str">
        <f>'DOE25'!A2</f>
        <v>Moultonborough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21766</v>
      </c>
    </row>
    <row r="5" spans="1:4" x14ac:dyDescent="0.2">
      <c r="B5" t="s">
        <v>704</v>
      </c>
      <c r="C5" s="179">
        <f>IF('DOE25'!G665+'DOE25'!G670=0,0,ROUND('DOE25'!G672,0))</f>
        <v>25078</v>
      </c>
    </row>
    <row r="6" spans="1:4" x14ac:dyDescent="0.2">
      <c r="B6" t="s">
        <v>62</v>
      </c>
      <c r="C6" s="179">
        <f>IF('DOE25'!H665+'DOE25'!H670=0,0,ROUND('DOE25'!H672,0))</f>
        <v>24238</v>
      </c>
    </row>
    <row r="7" spans="1:4" x14ac:dyDescent="0.2">
      <c r="B7" t="s">
        <v>705</v>
      </c>
      <c r="C7" s="179">
        <f>IF('DOE25'!I665+'DOE25'!I670=0,0,ROUND('DOE25'!I672,0))</f>
        <v>23177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5157921</v>
      </c>
      <c r="D10" s="182">
        <f>ROUND((C10/$C$28)*100,1)</f>
        <v>40.5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2638587</v>
      </c>
      <c r="D11" s="182">
        <f>ROUND((C11/$C$28)*100,1)</f>
        <v>20.7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62640</v>
      </c>
      <c r="D12" s="182">
        <f>ROUND((C12/$C$28)*100,1)</f>
        <v>0.5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334857</v>
      </c>
      <c r="D13" s="182">
        <f>ROUND((C13/$C$28)*100,1)</f>
        <v>2.6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428297</v>
      </c>
      <c r="D15" s="182">
        <f t="shared" ref="D15:D27" si="0">ROUND((C15/$C$28)*100,1)</f>
        <v>3.4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1017795</v>
      </c>
      <c r="D16" s="182">
        <f t="shared" si="0"/>
        <v>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541684</v>
      </c>
      <c r="D17" s="182">
        <f t="shared" si="0"/>
        <v>4.3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631596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1274399</v>
      </c>
      <c r="D20" s="182">
        <f t="shared" si="0"/>
        <v>10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460809</v>
      </c>
      <c r="D21" s="182">
        <f t="shared" si="0"/>
        <v>3.6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100127</v>
      </c>
      <c r="D25" s="182">
        <f t="shared" si="0"/>
        <v>0.8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79748.27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12728460.27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12728460.27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875909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6023313</v>
      </c>
      <c r="D35" s="182">
        <f t="shared" ref="D35:D40" si="1">ROUND((C35/$C$41)*100,1)</f>
        <v>38.9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1694017.63</v>
      </c>
      <c r="D36" s="182">
        <f t="shared" si="1"/>
        <v>10.9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6862731</v>
      </c>
      <c r="D37" s="182">
        <f t="shared" si="1"/>
        <v>44.3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493332</v>
      </c>
      <c r="D38" s="182">
        <f t="shared" si="1"/>
        <v>3.2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426959</v>
      </c>
      <c r="D39" s="182">
        <f t="shared" si="1"/>
        <v>2.8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15500352.629999999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8" t="s">
        <v>767</v>
      </c>
      <c r="B2" s="299"/>
      <c r="C2" s="299"/>
      <c r="D2" s="299"/>
      <c r="E2" s="299"/>
      <c r="F2" s="292" t="str">
        <f>'DOE25'!A2</f>
        <v>Moultonborough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7"/>
      <c r="AB29" s="207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7"/>
      <c r="AO29" s="207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7"/>
      <c r="BB29" s="207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7"/>
      <c r="BO29" s="207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7"/>
      <c r="CB29" s="207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7"/>
      <c r="CO29" s="207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7"/>
      <c r="DB29" s="207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7"/>
      <c r="DO29" s="207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7"/>
      <c r="EB29" s="207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7"/>
      <c r="EO29" s="207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7"/>
      <c r="FB29" s="207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7"/>
      <c r="FO29" s="207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7"/>
      <c r="GB29" s="207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7"/>
      <c r="GO29" s="207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7"/>
      <c r="HB29" s="207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7"/>
      <c r="HO29" s="207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7"/>
      <c r="IB29" s="207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7"/>
      <c r="IO29" s="207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7"/>
      <c r="AB30" s="207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7"/>
      <c r="AO30" s="207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7"/>
      <c r="BB30" s="207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7"/>
      <c r="BO30" s="207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7"/>
      <c r="CB30" s="207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7"/>
      <c r="CO30" s="207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7"/>
      <c r="DB30" s="207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7"/>
      <c r="DO30" s="207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7"/>
      <c r="EB30" s="207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7"/>
      <c r="EO30" s="207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7"/>
      <c r="FB30" s="207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7"/>
      <c r="FO30" s="207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7"/>
      <c r="GB30" s="207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7"/>
      <c r="GO30" s="207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7"/>
      <c r="HB30" s="207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7"/>
      <c r="HO30" s="207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7"/>
      <c r="IB30" s="207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7"/>
      <c r="IO30" s="207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7"/>
      <c r="AB31" s="207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7"/>
      <c r="AO31" s="207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7"/>
      <c r="BB31" s="207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7"/>
      <c r="BO31" s="207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7"/>
      <c r="CB31" s="207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7"/>
      <c r="CO31" s="207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7"/>
      <c r="DB31" s="207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7"/>
      <c r="DO31" s="207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7"/>
      <c r="EB31" s="207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7"/>
      <c r="EO31" s="207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7"/>
      <c r="FB31" s="207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7"/>
      <c r="FO31" s="207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7"/>
      <c r="GB31" s="207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7"/>
      <c r="GO31" s="207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7"/>
      <c r="HB31" s="207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7"/>
      <c r="HO31" s="207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7"/>
      <c r="IB31" s="207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7"/>
      <c r="IO31" s="207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7"/>
      <c r="AB38" s="207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7"/>
      <c r="AO38" s="207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7"/>
      <c r="BB38" s="207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7"/>
      <c r="BO38" s="207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7"/>
      <c r="CB38" s="207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7"/>
      <c r="CO38" s="207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7"/>
      <c r="DB38" s="207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7"/>
      <c r="DO38" s="207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7"/>
      <c r="EB38" s="207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7"/>
      <c r="EO38" s="207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7"/>
      <c r="FB38" s="207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7"/>
      <c r="FO38" s="207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7"/>
      <c r="GB38" s="207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7"/>
      <c r="GO38" s="207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7"/>
      <c r="HB38" s="207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7"/>
      <c r="HO38" s="207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7"/>
      <c r="IB38" s="207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7"/>
      <c r="IO38" s="207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7"/>
      <c r="AB39" s="207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7"/>
      <c r="AO39" s="207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7"/>
      <c r="BB39" s="207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7"/>
      <c r="BO39" s="207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7"/>
      <c r="CB39" s="207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7"/>
      <c r="CO39" s="207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7"/>
      <c r="DB39" s="207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7"/>
      <c r="DO39" s="207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7"/>
      <c r="EB39" s="207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7"/>
      <c r="EO39" s="207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7"/>
      <c r="FB39" s="207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7"/>
      <c r="FO39" s="207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7"/>
      <c r="GB39" s="207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7"/>
      <c r="GO39" s="207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7"/>
      <c r="HB39" s="207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7"/>
      <c r="HO39" s="207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7"/>
      <c r="IB39" s="207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7"/>
      <c r="IO39" s="207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7"/>
      <c r="AB40" s="207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7"/>
      <c r="AO40" s="207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7"/>
      <c r="BB40" s="207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7"/>
      <c r="BO40" s="207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7"/>
      <c r="CB40" s="207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7"/>
      <c r="CO40" s="207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7"/>
      <c r="DB40" s="207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7"/>
      <c r="DO40" s="207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7"/>
      <c r="EB40" s="207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7"/>
      <c r="EO40" s="207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7"/>
      <c r="FB40" s="207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7"/>
      <c r="FO40" s="207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7"/>
      <c r="GB40" s="207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7"/>
      <c r="GO40" s="207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7"/>
      <c r="HB40" s="207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7"/>
      <c r="HO40" s="207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7"/>
      <c r="IB40" s="207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7"/>
      <c r="IO40" s="207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7" t="s">
        <v>848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1"/>
      <c r="B74" s="211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1"/>
      <c r="B75" s="211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1"/>
      <c r="B76" s="211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1"/>
      <c r="B77" s="211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1"/>
      <c r="B78" s="211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1"/>
      <c r="B79" s="211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1"/>
      <c r="B80" s="211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1"/>
      <c r="B81" s="211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1"/>
      <c r="B82" s="211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1"/>
      <c r="B83" s="211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1"/>
      <c r="B84" s="211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1"/>
      <c r="B85" s="211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1"/>
      <c r="B86" s="211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1"/>
      <c r="B87" s="211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1"/>
      <c r="B88" s="211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1"/>
      <c r="B89" s="211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1"/>
      <c r="B90" s="211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mergeCells count="223">
    <mergeCell ref="IP40:IV40"/>
    <mergeCell ref="C45:M45"/>
    <mergeCell ref="IC40:IM40"/>
    <mergeCell ref="BP40:BZ40"/>
    <mergeCell ref="FC40:FM40"/>
    <mergeCell ref="FP40:FZ40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P40:Z40"/>
    <mergeCell ref="AC40:AM40"/>
    <mergeCell ref="CC40:CM40"/>
    <mergeCell ref="CP40:CZ40"/>
    <mergeCell ref="DC40:DM40"/>
    <mergeCell ref="EP40:EZ40"/>
    <mergeCell ref="AP40:AZ40"/>
    <mergeCell ref="P38:Z38"/>
    <mergeCell ref="AC38:AM38"/>
    <mergeCell ref="AP38:AZ38"/>
    <mergeCell ref="BP39:BZ39"/>
    <mergeCell ref="CC39:CM39"/>
    <mergeCell ref="CP39:CZ39"/>
    <mergeCell ref="IP39:IV39"/>
    <mergeCell ref="EP39:EZ39"/>
    <mergeCell ref="FC39:FM39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FP39:FZ39"/>
    <mergeCell ref="GP39:GZ39"/>
    <mergeCell ref="GP38:GZ38"/>
    <mergeCell ref="HC38:HM38"/>
    <mergeCell ref="HC39:HM39"/>
    <mergeCell ref="BP38:BZ38"/>
    <mergeCell ref="CC38:CM38"/>
    <mergeCell ref="DC38:DM38"/>
    <mergeCell ref="EC31:EM31"/>
    <mergeCell ref="EP31:EZ31"/>
    <mergeCell ref="CC32:CM32"/>
    <mergeCell ref="BC31:BM31"/>
    <mergeCell ref="BC32:BM32"/>
    <mergeCell ref="BC39:BM39"/>
    <mergeCell ref="BP31:BZ31"/>
    <mergeCell ref="CC31:CM31"/>
    <mergeCell ref="CP31:CZ31"/>
    <mergeCell ref="DC39:DM39"/>
    <mergeCell ref="DP39:DZ39"/>
    <mergeCell ref="EC39:EM39"/>
    <mergeCell ref="GC39:GM39"/>
    <mergeCell ref="GC31:GM31"/>
    <mergeCell ref="GC38:GM38"/>
    <mergeCell ref="DP38:DZ38"/>
    <mergeCell ref="EC38:EM38"/>
    <mergeCell ref="DC32:DM32"/>
    <mergeCell ref="DC31:DM31"/>
    <mergeCell ref="EP38:EZ38"/>
    <mergeCell ref="FC38:FM38"/>
    <mergeCell ref="FP38:FZ38"/>
    <mergeCell ref="FP32:FZ32"/>
    <mergeCell ref="FC31:FM31"/>
    <mergeCell ref="FP31:FZ31"/>
    <mergeCell ref="IC31:IM31"/>
    <mergeCell ref="IP31:IV31"/>
    <mergeCell ref="CP32:CZ32"/>
    <mergeCell ref="CP30:CZ30"/>
    <mergeCell ref="IP32:IV32"/>
    <mergeCell ref="GC32:GM32"/>
    <mergeCell ref="FC32:FM32"/>
    <mergeCell ref="IC30:IM30"/>
    <mergeCell ref="HP30:HZ30"/>
    <mergeCell ref="FC30:FM30"/>
    <mergeCell ref="FP30:FZ30"/>
    <mergeCell ref="IC32:IM32"/>
    <mergeCell ref="GP31:GZ31"/>
    <mergeCell ref="HC31:HM31"/>
    <mergeCell ref="DP32:DZ32"/>
    <mergeCell ref="EC32:EM32"/>
    <mergeCell ref="EP32:EZ32"/>
    <mergeCell ref="EC30:EM30"/>
    <mergeCell ref="EP30:EZ30"/>
    <mergeCell ref="HC32:HM32"/>
    <mergeCell ref="HP32:HZ32"/>
    <mergeCell ref="HP31:HZ31"/>
    <mergeCell ref="GP32:GZ32"/>
    <mergeCell ref="EC29:EM29"/>
    <mergeCell ref="EP29:EZ29"/>
    <mergeCell ref="FC29:FM29"/>
    <mergeCell ref="CP29:CZ29"/>
    <mergeCell ref="DP29:DZ29"/>
    <mergeCell ref="DC29:DM29"/>
    <mergeCell ref="IP29:IV29"/>
    <mergeCell ref="GC30:GM30"/>
    <mergeCell ref="GP30:GZ30"/>
    <mergeCell ref="IP30:IV30"/>
    <mergeCell ref="HP29:HZ29"/>
    <mergeCell ref="IC29:IM29"/>
    <mergeCell ref="FP29:FZ29"/>
    <mergeCell ref="GC29:GM29"/>
    <mergeCell ref="GP29:GZ29"/>
    <mergeCell ref="HC29:HM29"/>
    <mergeCell ref="HC30:HM30"/>
    <mergeCell ref="A2:E2"/>
    <mergeCell ref="C5:M5"/>
    <mergeCell ref="C6:M6"/>
    <mergeCell ref="C7:M7"/>
    <mergeCell ref="C8:M8"/>
    <mergeCell ref="C13:M13"/>
    <mergeCell ref="C9:M9"/>
    <mergeCell ref="CC29:CM29"/>
    <mergeCell ref="P31:Z31"/>
    <mergeCell ref="AC31:AM31"/>
    <mergeCell ref="AP31:AZ31"/>
    <mergeCell ref="C14:M14"/>
    <mergeCell ref="P30:Z30"/>
    <mergeCell ref="AC30:AM30"/>
    <mergeCell ref="AP30:AZ30"/>
    <mergeCell ref="CC30:CM30"/>
    <mergeCell ref="BC30:BM30"/>
    <mergeCell ref="BP30:BZ30"/>
    <mergeCell ref="P32:Z32"/>
    <mergeCell ref="C27:M27"/>
    <mergeCell ref="AP29:AZ29"/>
    <mergeCell ref="C28:M28"/>
    <mergeCell ref="C32:M32"/>
    <mergeCell ref="C30:M30"/>
    <mergeCell ref="C31:M31"/>
    <mergeCell ref="DC30:DM30"/>
    <mergeCell ref="DP30:DZ30"/>
    <mergeCell ref="AC32:AM32"/>
    <mergeCell ref="DP31:DZ31"/>
    <mergeCell ref="AP32:AZ32"/>
    <mergeCell ref="BP32:BZ32"/>
    <mergeCell ref="A1:I1"/>
    <mergeCell ref="C3:M3"/>
    <mergeCell ref="C4:M4"/>
    <mergeCell ref="F2:I2"/>
    <mergeCell ref="C10:M10"/>
    <mergeCell ref="C11:M11"/>
    <mergeCell ref="C12:M12"/>
    <mergeCell ref="BC29:BM29"/>
    <mergeCell ref="BP29:BZ29"/>
    <mergeCell ref="C15:M15"/>
    <mergeCell ref="C16:M16"/>
    <mergeCell ref="C17:M17"/>
    <mergeCell ref="C18:M18"/>
    <mergeCell ref="C19:M19"/>
    <mergeCell ref="C20:M20"/>
    <mergeCell ref="P29:Z29"/>
    <mergeCell ref="AC29:AM29"/>
    <mergeCell ref="C21:M21"/>
    <mergeCell ref="C22:M22"/>
    <mergeCell ref="C23:M23"/>
    <mergeCell ref="C24:M24"/>
    <mergeCell ref="C29:M29"/>
    <mergeCell ref="C25:M25"/>
    <mergeCell ref="C26:M26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39:M39"/>
    <mergeCell ref="C40:M40"/>
    <mergeCell ref="C42:M42"/>
    <mergeCell ref="C41:M41"/>
    <mergeCell ref="C33:M33"/>
    <mergeCell ref="C37:M37"/>
    <mergeCell ref="C46:M46"/>
    <mergeCell ref="C90:M90"/>
    <mergeCell ref="C83:M83"/>
    <mergeCell ref="C84:M84"/>
    <mergeCell ref="C85:M85"/>
    <mergeCell ref="C86:M86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77:M77"/>
    <mergeCell ref="C78:M78"/>
    <mergeCell ref="C79:M79"/>
    <mergeCell ref="C80:M80"/>
    <mergeCell ref="C81:M81"/>
    <mergeCell ref="C82:M82"/>
    <mergeCell ref="C87:M87"/>
    <mergeCell ref="C88:M88"/>
    <mergeCell ref="C89:M89"/>
    <mergeCell ref="C61:M61"/>
    <mergeCell ref="C53:M53"/>
    <mergeCell ref="C54:M54"/>
    <mergeCell ref="C55:M55"/>
    <mergeCell ref="C75:M75"/>
    <mergeCell ref="C67:M67"/>
    <mergeCell ref="C68:M68"/>
    <mergeCell ref="C69:M69"/>
    <mergeCell ref="C76:M76"/>
    <mergeCell ref="C66:M66"/>
    <mergeCell ref="C70:M70"/>
    <mergeCell ref="A72:E72"/>
    <mergeCell ref="C73:M73"/>
    <mergeCell ref="C74:M7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2016-10-06T16:24:36Z</cp:lastPrinted>
  <dcterms:created xsi:type="dcterms:W3CDTF">1997-12-04T19:04:30Z</dcterms:created>
  <dcterms:modified xsi:type="dcterms:W3CDTF">2016-11-30T16:40:11Z</dcterms:modified>
</cp:coreProperties>
</file>