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470" i="1" s="1"/>
  <c r="F57" i="1"/>
  <c r="K255" i="1"/>
  <c r="B22" i="12"/>
  <c r="H48" i="1"/>
  <c r="G474" i="1"/>
  <c r="G40" i="1"/>
  <c r="G13" i="1"/>
  <c r="G459" i="1"/>
  <c r="F448" i="1"/>
  <c r="H440" i="1"/>
  <c r="G439" i="1"/>
  <c r="F439" i="1"/>
  <c r="H392" i="1"/>
  <c r="L392" i="1" s="1"/>
  <c r="F110" i="1"/>
  <c r="J102" i="1"/>
  <c r="H98" i="1"/>
  <c r="J96" i="1"/>
  <c r="H69" i="1"/>
  <c r="H66" i="1"/>
  <c r="H65" i="1"/>
  <c r="H64" i="1"/>
  <c r="H79" i="1" s="1"/>
  <c r="H63" i="1"/>
  <c r="H633" i="1"/>
  <c r="H635" i="1"/>
  <c r="D39" i="13"/>
  <c r="C40" i="12"/>
  <c r="B40" i="12"/>
  <c r="B31" i="12"/>
  <c r="C22" i="12"/>
  <c r="C13" i="12"/>
  <c r="H614" i="1"/>
  <c r="I614" i="1"/>
  <c r="K595" i="1"/>
  <c r="K593" i="1"/>
  <c r="I582" i="1"/>
  <c r="I580" i="1"/>
  <c r="L542" i="1"/>
  <c r="J550" i="1" s="1"/>
  <c r="B163" i="2"/>
  <c r="G163" i="2"/>
  <c r="B160" i="2"/>
  <c r="F498" i="1"/>
  <c r="K498" i="1"/>
  <c r="J337" i="1"/>
  <c r="K337" i="1"/>
  <c r="L332" i="1"/>
  <c r="L317" i="1"/>
  <c r="L316" i="1"/>
  <c r="L288" i="1"/>
  <c r="B9" i="12"/>
  <c r="F17" i="13"/>
  <c r="G256" i="1"/>
  <c r="L198" i="1"/>
  <c r="J565" i="1"/>
  <c r="J571" i="1"/>
  <c r="G565" i="1"/>
  <c r="I565" i="1"/>
  <c r="L287" i="1"/>
  <c r="L324" i="1"/>
  <c r="L304" i="1"/>
  <c r="G290" i="1"/>
  <c r="L320" i="1"/>
  <c r="I328" i="1"/>
  <c r="L281" i="1"/>
  <c r="K309" i="1"/>
  <c r="K328" i="1"/>
  <c r="L306" i="1"/>
  <c r="J309" i="1"/>
  <c r="J290" i="1"/>
  <c r="J362" i="1"/>
  <c r="K362" i="1"/>
  <c r="L360" i="1"/>
  <c r="L523" i="1"/>
  <c r="F551" i="1" s="1"/>
  <c r="J534" i="1"/>
  <c r="K534" i="1"/>
  <c r="H534" i="1"/>
  <c r="I362" i="1"/>
  <c r="G634" i="1" s="1"/>
  <c r="L315" i="1"/>
  <c r="L522" i="1"/>
  <c r="F550" i="1" s="1"/>
  <c r="K550" i="1" s="1"/>
  <c r="I524" i="1"/>
  <c r="F524" i="1"/>
  <c r="C45" i="2"/>
  <c r="C50" i="2" s="1"/>
  <c r="F51" i="1"/>
  <c r="C37" i="10"/>
  <c r="F40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G13" i="13"/>
  <c r="F18" i="13"/>
  <c r="G18" i="13"/>
  <c r="L252" i="1"/>
  <c r="F19" i="13"/>
  <c r="G19" i="13"/>
  <c r="L253" i="1"/>
  <c r="L278" i="1"/>
  <c r="L283" i="1"/>
  <c r="E120" i="2" s="1"/>
  <c r="L295" i="1"/>
  <c r="L297" i="1"/>
  <c r="L302" i="1"/>
  <c r="L307" i="1"/>
  <c r="E125" i="2" s="1"/>
  <c r="L321" i="1"/>
  <c r="L326" i="1"/>
  <c r="L334" i="1"/>
  <c r="L335" i="1"/>
  <c r="L260" i="1"/>
  <c r="C131" i="2" s="1"/>
  <c r="L341" i="1"/>
  <c r="L342" i="1"/>
  <c r="H25" i="13" s="1"/>
  <c r="C25" i="13" s="1"/>
  <c r="L255" i="1"/>
  <c r="C130" i="2" s="1"/>
  <c r="L336" i="1"/>
  <c r="L361" i="1"/>
  <c r="B4" i="12"/>
  <c r="B1" i="12"/>
  <c r="L387" i="1"/>
  <c r="L388" i="1"/>
  <c r="L389" i="1"/>
  <c r="L390" i="1"/>
  <c r="L393" i="1" s="1"/>
  <c r="C138" i="2" s="1"/>
  <c r="L391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 s="1"/>
  <c r="G63" i="2" s="1"/>
  <c r="G61" i="2"/>
  <c r="F2" i="11"/>
  <c r="C40" i="10"/>
  <c r="F60" i="1"/>
  <c r="G60" i="1"/>
  <c r="H60" i="1"/>
  <c r="I60" i="1"/>
  <c r="F79" i="1"/>
  <c r="F94" i="1"/>
  <c r="F111" i="1"/>
  <c r="G111" i="1"/>
  <c r="G112" i="1" s="1"/>
  <c r="G193" i="1" s="1"/>
  <c r="G628" i="1" s="1"/>
  <c r="J628" i="1" s="1"/>
  <c r="H94" i="1"/>
  <c r="H111" i="1"/>
  <c r="I111" i="1"/>
  <c r="F121" i="1"/>
  <c r="F136" i="1"/>
  <c r="G121" i="1"/>
  <c r="G140" i="1" s="1"/>
  <c r="G136" i="1"/>
  <c r="H121" i="1"/>
  <c r="H136" i="1"/>
  <c r="I121" i="1"/>
  <c r="I140" i="1" s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254" i="1"/>
  <c r="L268" i="1"/>
  <c r="L269" i="1"/>
  <c r="L349" i="1"/>
  <c r="L350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36" i="1"/>
  <c r="I549" i="1"/>
  <c r="L537" i="1"/>
  <c r="I550" i="1" s="1"/>
  <c r="L538" i="1"/>
  <c r="I551" i="1"/>
  <c r="E131" i="2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E18" i="2" s="1"/>
  <c r="F12" i="2"/>
  <c r="I442" i="1"/>
  <c r="J13" i="1"/>
  <c r="G12" i="2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/>
  <c r="G17" i="2" s="1"/>
  <c r="C21" i="2"/>
  <c r="D21" i="2"/>
  <c r="E21" i="2"/>
  <c r="F21" i="2"/>
  <c r="C22" i="2"/>
  <c r="C31" i="2" s="1"/>
  <c r="D22" i="2"/>
  <c r="E22" i="2"/>
  <c r="F22" i="2"/>
  <c r="I449" i="1"/>
  <c r="J23" i="1" s="1"/>
  <c r="G22" i="2" s="1"/>
  <c r="C23" i="2"/>
  <c r="D23" i="2"/>
  <c r="E23" i="2"/>
  <c r="F23" i="2"/>
  <c r="I450" i="1"/>
  <c r="J24" i="1"/>
  <c r="G23" i="2"/>
  <c r="C24" i="2"/>
  <c r="D24" i="2"/>
  <c r="E24" i="2"/>
  <c r="F24" i="2"/>
  <c r="F31" i="2" s="1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/>
  <c r="F29" i="2"/>
  <c r="C30" i="2"/>
  <c r="D30" i="2"/>
  <c r="E30" i="2"/>
  <c r="F30" i="2"/>
  <c r="I451" i="1"/>
  <c r="J31" i="1"/>
  <c r="G30" i="2"/>
  <c r="C34" i="2"/>
  <c r="D34" i="2"/>
  <c r="E34" i="2"/>
  <c r="E50" i="2" s="1"/>
  <c r="E51" i="2" s="1"/>
  <c r="F34" i="2"/>
  <c r="F50" i="2" s="1"/>
  <c r="F51" i="2" s="1"/>
  <c r="C35" i="2"/>
  <c r="D35" i="2"/>
  <c r="E35" i="2"/>
  <c r="F35" i="2"/>
  <c r="I454" i="1"/>
  <c r="J49" i="1" s="1"/>
  <c r="G48" i="2" s="1"/>
  <c r="I456" i="1"/>
  <c r="I457" i="1"/>
  <c r="J37" i="1"/>
  <c r="I459" i="1"/>
  <c r="J48" i="1" s="1"/>
  <c r="G47" i="2" s="1"/>
  <c r="C49" i="2"/>
  <c r="D56" i="2"/>
  <c r="E56" i="2"/>
  <c r="C57" i="2"/>
  <c r="E57" i="2"/>
  <c r="E62" i="2" s="1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 s="1"/>
  <c r="F81" i="2" s="1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D81" i="2" s="1"/>
  <c r="E77" i="2"/>
  <c r="E78" i="2" s="1"/>
  <c r="F77" i="2"/>
  <c r="G77" i="2"/>
  <c r="G78" i="2"/>
  <c r="G81" i="2"/>
  <c r="C79" i="2"/>
  <c r="D79" i="2"/>
  <c r="E79" i="2"/>
  <c r="C80" i="2"/>
  <c r="E80" i="2"/>
  <c r="D85" i="2"/>
  <c r="E85" i="2"/>
  <c r="E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G145" i="2" s="1"/>
  <c r="E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C159" i="2"/>
  <c r="G159" i="2" s="1"/>
  <c r="D159" i="2"/>
  <c r="E159" i="2"/>
  <c r="F159" i="2"/>
  <c r="C160" i="2"/>
  <c r="D160" i="2"/>
  <c r="E160" i="2"/>
  <c r="F160" i="2"/>
  <c r="G500" i="1"/>
  <c r="C161" i="2" s="1"/>
  <c r="G161" i="2" s="1"/>
  <c r="H500" i="1"/>
  <c r="D161" i="2"/>
  <c r="I500" i="1"/>
  <c r="E161" i="2" s="1"/>
  <c r="J500" i="1"/>
  <c r="F161" i="2"/>
  <c r="B162" i="2"/>
  <c r="C162" i="2"/>
  <c r="D162" i="2"/>
  <c r="E162" i="2"/>
  <c r="F162" i="2"/>
  <c r="C163" i="2"/>
  <c r="D163" i="2"/>
  <c r="E163" i="2"/>
  <c r="F163" i="2"/>
  <c r="F503" i="1"/>
  <c r="G503" i="1"/>
  <c r="K503" i="1" s="1"/>
  <c r="C164" i="2"/>
  <c r="H503" i="1"/>
  <c r="D164" i="2"/>
  <c r="I503" i="1"/>
  <c r="E164" i="2"/>
  <c r="J503" i="1"/>
  <c r="F164" i="2"/>
  <c r="F19" i="1"/>
  <c r="G19" i="1"/>
  <c r="G618" i="1" s="1"/>
  <c r="H19" i="1"/>
  <c r="I19" i="1"/>
  <c r="F32" i="1"/>
  <c r="F52" i="1"/>
  <c r="H617" i="1" s="1"/>
  <c r="G32" i="1"/>
  <c r="H32" i="1"/>
  <c r="I32" i="1"/>
  <c r="H51" i="1"/>
  <c r="G624" i="1"/>
  <c r="I51" i="1"/>
  <c r="I52" i="1"/>
  <c r="H620" i="1"/>
  <c r="J620" i="1"/>
  <c r="F177" i="1"/>
  <c r="I177" i="1"/>
  <c r="F183" i="1"/>
  <c r="G183" i="1"/>
  <c r="G192" i="1" s="1"/>
  <c r="H183" i="1"/>
  <c r="I183" i="1"/>
  <c r="J183" i="1"/>
  <c r="J192" i="1"/>
  <c r="F188" i="1"/>
  <c r="G188" i="1"/>
  <c r="H188" i="1"/>
  <c r="I188" i="1"/>
  <c r="I192" i="1" s="1"/>
  <c r="F256" i="1"/>
  <c r="H256" i="1"/>
  <c r="I256" i="1"/>
  <c r="J256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F434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H434" i="1" s="1"/>
  <c r="I433" i="1"/>
  <c r="J433" i="1"/>
  <c r="F446" i="1"/>
  <c r="G446" i="1"/>
  <c r="G640" i="1" s="1"/>
  <c r="H446" i="1"/>
  <c r="I446" i="1"/>
  <c r="G452" i="1"/>
  <c r="G461" i="1" s="1"/>
  <c r="H640" i="1" s="1"/>
  <c r="H452" i="1"/>
  <c r="F460" i="1"/>
  <c r="G460" i="1"/>
  <c r="H460" i="1"/>
  <c r="H461" i="1"/>
  <c r="G470" i="1"/>
  <c r="H470" i="1"/>
  <c r="I470" i="1"/>
  <c r="J470" i="1"/>
  <c r="I474" i="1"/>
  <c r="J474" i="1"/>
  <c r="J476" i="1" s="1"/>
  <c r="K495" i="1"/>
  <c r="K496" i="1"/>
  <c r="K497" i="1"/>
  <c r="K501" i="1"/>
  <c r="K502" i="1"/>
  <c r="F517" i="1"/>
  <c r="G517" i="1"/>
  <c r="H517" i="1"/>
  <c r="I517" i="1"/>
  <c r="F539" i="1"/>
  <c r="G539" i="1"/>
  <c r="H539" i="1"/>
  <c r="I539" i="1"/>
  <c r="J539" i="1"/>
  <c r="K539" i="1"/>
  <c r="L539" i="1"/>
  <c r="F544" i="1"/>
  <c r="G544" i="1"/>
  <c r="I544" i="1"/>
  <c r="J544" i="1"/>
  <c r="K544" i="1"/>
  <c r="L557" i="1"/>
  <c r="L558" i="1"/>
  <c r="L559" i="1"/>
  <c r="L560" i="1" s="1"/>
  <c r="F560" i="1"/>
  <c r="G560" i="1"/>
  <c r="G571" i="1" s="1"/>
  <c r="H560" i="1"/>
  <c r="I560" i="1"/>
  <c r="I571" i="1" s="1"/>
  <c r="J560" i="1"/>
  <c r="K560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1" i="1"/>
  <c r="I583" i="1"/>
  <c r="I584" i="1"/>
  <c r="I585" i="1"/>
  <c r="I586" i="1"/>
  <c r="I587" i="1"/>
  <c r="K596" i="1"/>
  <c r="K597" i="1"/>
  <c r="K602" i="1"/>
  <c r="K603" i="1"/>
  <c r="I605" i="1"/>
  <c r="G617" i="1"/>
  <c r="J617" i="1" s="1"/>
  <c r="G619" i="1"/>
  <c r="G620" i="1"/>
  <c r="G622" i="1"/>
  <c r="H627" i="1"/>
  <c r="H628" i="1"/>
  <c r="H629" i="1"/>
  <c r="H630" i="1"/>
  <c r="H631" i="1"/>
  <c r="H636" i="1"/>
  <c r="H637" i="1"/>
  <c r="H638" i="1"/>
  <c r="G639" i="1"/>
  <c r="G641" i="1"/>
  <c r="H641" i="1"/>
  <c r="J641" i="1" s="1"/>
  <c r="G642" i="1"/>
  <c r="G643" i="1"/>
  <c r="J643" i="1" s="1"/>
  <c r="H643" i="1"/>
  <c r="G645" i="1"/>
  <c r="H645" i="1"/>
  <c r="G652" i="1"/>
  <c r="H652" i="1"/>
  <c r="G653" i="1"/>
  <c r="J653" i="1" s="1"/>
  <c r="H653" i="1"/>
  <c r="G654" i="1"/>
  <c r="H654" i="1"/>
  <c r="H655" i="1"/>
  <c r="J655" i="1" s="1"/>
  <c r="F192" i="1"/>
  <c r="C18" i="2"/>
  <c r="L351" i="1"/>
  <c r="D63" i="2"/>
  <c r="D18" i="13"/>
  <c r="C18" i="13" s="1"/>
  <c r="D31" i="2"/>
  <c r="G156" i="2"/>
  <c r="D91" i="2"/>
  <c r="E63" i="2"/>
  <c r="D19" i="13"/>
  <c r="C19" i="13" s="1"/>
  <c r="E81" i="2"/>
  <c r="I169" i="1"/>
  <c r="H169" i="1"/>
  <c r="J140" i="1"/>
  <c r="I552" i="1"/>
  <c r="H140" i="1"/>
  <c r="L401" i="1"/>
  <c r="C139" i="2" s="1"/>
  <c r="F22" i="13"/>
  <c r="C22" i="13"/>
  <c r="H192" i="1"/>
  <c r="J645" i="1"/>
  <c r="G36" i="2"/>
  <c r="F62" i="2"/>
  <c r="G103" i="2"/>
  <c r="F103" i="2"/>
  <c r="L407" i="1"/>
  <c r="C140" i="2" s="1"/>
  <c r="L408" i="1"/>
  <c r="H646" i="1" s="1"/>
  <c r="J654" i="1"/>
  <c r="K434" i="1"/>
  <c r="G134" i="2" s="1"/>
  <c r="G144" i="2" s="1"/>
  <c r="G169" i="1"/>
  <c r="F140" i="1"/>
  <c r="G16" i="2"/>
  <c r="J652" i="1"/>
  <c r="I434" i="1"/>
  <c r="G434" i="1"/>
  <c r="I368" i="1"/>
  <c r="I369" i="1" s="1"/>
  <c r="I476" i="1"/>
  <c r="H625" i="1"/>
  <c r="L323" i="1"/>
  <c r="C19" i="10" s="1"/>
  <c r="L238" i="1"/>
  <c r="G6" i="13"/>
  <c r="F6" i="13"/>
  <c r="G8" i="13"/>
  <c r="F8" i="13"/>
  <c r="F14" i="13"/>
  <c r="F7" i="13"/>
  <c r="D7" i="13" s="1"/>
  <c r="G7" i="13"/>
  <c r="F13" i="13"/>
  <c r="F16" i="13"/>
  <c r="G15" i="13"/>
  <c r="G16" i="13"/>
  <c r="K591" i="1"/>
  <c r="L208" i="1"/>
  <c r="L199" i="1"/>
  <c r="C111" i="2" s="1"/>
  <c r="L222" i="1"/>
  <c r="L226" i="1"/>
  <c r="G650" i="1"/>
  <c r="L245" i="1"/>
  <c r="L244" i="1"/>
  <c r="L240" i="1"/>
  <c r="L224" i="1"/>
  <c r="L206" i="1"/>
  <c r="C122" i="2" s="1"/>
  <c r="H211" i="1"/>
  <c r="L235" i="1"/>
  <c r="L217" i="1"/>
  <c r="L209" i="1"/>
  <c r="H247" i="1"/>
  <c r="L233" i="1"/>
  <c r="I211" i="1"/>
  <c r="I229" i="1"/>
  <c r="J229" i="1"/>
  <c r="C9" i="12"/>
  <c r="G211" i="1"/>
  <c r="G229" i="1"/>
  <c r="L203" i="1"/>
  <c r="L221" i="1"/>
  <c r="B164" i="2"/>
  <c r="G164" i="2"/>
  <c r="K499" i="1"/>
  <c r="G14" i="13"/>
  <c r="L241" i="1"/>
  <c r="L204" i="1"/>
  <c r="L251" i="1"/>
  <c r="L227" i="1"/>
  <c r="L218" i="1"/>
  <c r="G247" i="1"/>
  <c r="F15" i="13"/>
  <c r="H626" i="1"/>
  <c r="G8" i="2"/>
  <c r="L434" i="1"/>
  <c r="G638" i="1" s="1"/>
  <c r="J638" i="1" s="1"/>
  <c r="E104" i="2"/>
  <c r="C38" i="10"/>
  <c r="C62" i="2"/>
  <c r="G625" i="1"/>
  <c r="J625" i="1" s="1"/>
  <c r="H52" i="1"/>
  <c r="H619" i="1" s="1"/>
  <c r="J619" i="1" s="1"/>
  <c r="I665" i="1"/>
  <c r="G649" i="1"/>
  <c r="C9" i="13"/>
  <c r="B159" i="2"/>
  <c r="G534" i="1"/>
  <c r="B13" i="12"/>
  <c r="I337" i="1"/>
  <c r="K565" i="1"/>
  <c r="K571" i="1" s="1"/>
  <c r="C10" i="13"/>
  <c r="G524" i="1"/>
  <c r="J598" i="1"/>
  <c r="H651" i="1" s="1"/>
  <c r="L528" i="1"/>
  <c r="G551" i="1"/>
  <c r="F529" i="1"/>
  <c r="L298" i="1"/>
  <c r="C31" i="12"/>
  <c r="F29" i="13"/>
  <c r="L564" i="1"/>
  <c r="B18" i="12"/>
  <c r="A22" i="12" s="1"/>
  <c r="G369" i="1"/>
  <c r="K614" i="1"/>
  <c r="F472" i="1"/>
  <c r="H632" i="1" s="1"/>
  <c r="K594" i="1"/>
  <c r="J614" i="1"/>
  <c r="G476" i="1"/>
  <c r="H623" i="1" s="1"/>
  <c r="F500" i="1"/>
  <c r="K500" i="1"/>
  <c r="L215" i="1"/>
  <c r="F229" i="1"/>
  <c r="L207" i="1"/>
  <c r="F5" i="13"/>
  <c r="F33" i="13" s="1"/>
  <c r="J211" i="1"/>
  <c r="G12" i="13"/>
  <c r="L205" i="1"/>
  <c r="L236" i="1"/>
  <c r="L247" i="1" s="1"/>
  <c r="K247" i="1"/>
  <c r="L243" i="1"/>
  <c r="L277" i="1"/>
  <c r="F565" i="1"/>
  <c r="F571" i="1" s="1"/>
  <c r="K592" i="1"/>
  <c r="C114" i="2"/>
  <c r="K211" i="1"/>
  <c r="K257" i="1" s="1"/>
  <c r="K271" i="1" s="1"/>
  <c r="G5" i="13"/>
  <c r="I247" i="1"/>
  <c r="L242" i="1"/>
  <c r="L216" i="1"/>
  <c r="H229" i="1"/>
  <c r="L223" i="1"/>
  <c r="F12" i="13"/>
  <c r="L225" i="1"/>
  <c r="L282" i="1"/>
  <c r="L305" i="1"/>
  <c r="L319" i="1"/>
  <c r="L301" i="1"/>
  <c r="L234" i="1"/>
  <c r="K229" i="1"/>
  <c r="C36" i="12"/>
  <c r="L200" i="1"/>
  <c r="L261" i="1"/>
  <c r="K270" i="1"/>
  <c r="L543" i="1"/>
  <c r="J551" i="1" s="1"/>
  <c r="L239" i="1"/>
  <c r="C7" i="13"/>
  <c r="F247" i="1"/>
  <c r="F662" i="1"/>
  <c r="J605" i="1"/>
  <c r="G17" i="13"/>
  <c r="K256" i="1"/>
  <c r="L256" i="1"/>
  <c r="H474" i="1"/>
  <c r="I598" i="1"/>
  <c r="H650" i="1" s="1"/>
  <c r="J650" i="1" s="1"/>
  <c r="L220" i="1"/>
  <c r="K529" i="1"/>
  <c r="J247" i="1"/>
  <c r="J257" i="1" s="1"/>
  <c r="J271" i="1" s="1"/>
  <c r="L202" i="1"/>
  <c r="F211" i="1"/>
  <c r="L276" i="1"/>
  <c r="B27" i="12"/>
  <c r="H337" i="1"/>
  <c r="G337" i="1"/>
  <c r="B161" i="2"/>
  <c r="C119" i="2"/>
  <c r="C132" i="2"/>
  <c r="C121" i="2"/>
  <c r="D12" i="13"/>
  <c r="C12" i="13" s="1"/>
  <c r="C11" i="13"/>
  <c r="E111" i="2"/>
  <c r="F257" i="1"/>
  <c r="F271" i="1"/>
  <c r="G662" i="1"/>
  <c r="L229" i="1"/>
  <c r="H257" i="1"/>
  <c r="A13" i="12"/>
  <c r="L333" i="1"/>
  <c r="L527" i="1"/>
  <c r="G550" i="1" s="1"/>
  <c r="L521" i="1"/>
  <c r="L359" i="1"/>
  <c r="H362" i="1"/>
  <c r="J529" i="1"/>
  <c r="F309" i="1"/>
  <c r="L300" i="1"/>
  <c r="E118" i="2"/>
  <c r="I534" i="1"/>
  <c r="L532" i="1"/>
  <c r="H550" i="1"/>
  <c r="F534" i="1"/>
  <c r="L531" i="1"/>
  <c r="H549" i="1"/>
  <c r="L526" i="1"/>
  <c r="G529" i="1"/>
  <c r="G545" i="1" s="1"/>
  <c r="I309" i="1"/>
  <c r="L303" i="1"/>
  <c r="L322" i="1"/>
  <c r="B36" i="12"/>
  <c r="A40" i="12" s="1"/>
  <c r="L279" i="1"/>
  <c r="L562" i="1"/>
  <c r="I290" i="1"/>
  <c r="L314" i="1"/>
  <c r="F328" i="1"/>
  <c r="C27" i="12"/>
  <c r="G328" i="1"/>
  <c r="E113" i="2"/>
  <c r="H369" i="1"/>
  <c r="L541" i="1"/>
  <c r="J549" i="1" s="1"/>
  <c r="H544" i="1"/>
  <c r="F614" i="1"/>
  <c r="L612" i="1"/>
  <c r="G663" i="1" s="1"/>
  <c r="G614" i="1"/>
  <c r="L613" i="1"/>
  <c r="H663" i="1" s="1"/>
  <c r="J328" i="1"/>
  <c r="J338" i="1"/>
  <c r="G309" i="1"/>
  <c r="I529" i="1"/>
  <c r="I545" i="1" s="1"/>
  <c r="H524" i="1"/>
  <c r="G362" i="1"/>
  <c r="K290" i="1"/>
  <c r="H309" i="1"/>
  <c r="G29" i="13"/>
  <c r="D29" i="13" s="1"/>
  <c r="C29" i="13" s="1"/>
  <c r="L286" i="1"/>
  <c r="L325" i="1"/>
  <c r="H529" i="1"/>
  <c r="J524" i="1"/>
  <c r="J545" i="1" s="1"/>
  <c r="F362" i="1"/>
  <c r="C18" i="12"/>
  <c r="L563" i="1"/>
  <c r="L565" i="1" s="1"/>
  <c r="L571" i="1" s="1"/>
  <c r="F369" i="1"/>
  <c r="K524" i="1"/>
  <c r="K545" i="1"/>
  <c r="H290" i="1"/>
  <c r="I367" i="1"/>
  <c r="H634" i="1"/>
  <c r="J634" i="1"/>
  <c r="L284" i="1"/>
  <c r="L285" i="1"/>
  <c r="L358" i="1"/>
  <c r="H661" i="1"/>
  <c r="L296" i="1"/>
  <c r="H598" i="1"/>
  <c r="H649" i="1" s="1"/>
  <c r="L533" i="1"/>
  <c r="F663" i="1"/>
  <c r="I663" i="1" s="1"/>
  <c r="F337" i="1"/>
  <c r="L337" i="1"/>
  <c r="L611" i="1"/>
  <c r="L614" i="1" s="1"/>
  <c r="H565" i="1"/>
  <c r="H571" i="1" s="1"/>
  <c r="I257" i="1"/>
  <c r="I271" i="1"/>
  <c r="E13" i="13"/>
  <c r="C13" i="13" s="1"/>
  <c r="C12" i="10"/>
  <c r="H551" i="1"/>
  <c r="C110" i="2"/>
  <c r="K598" i="1"/>
  <c r="G647" i="1" s="1"/>
  <c r="J647" i="1" s="1"/>
  <c r="E8" i="13"/>
  <c r="C8" i="13"/>
  <c r="C120" i="2"/>
  <c r="C17" i="10"/>
  <c r="D6" i="13"/>
  <c r="C6" i="13"/>
  <c r="C15" i="10"/>
  <c r="C118" i="2"/>
  <c r="L544" i="1"/>
  <c r="H647" i="1"/>
  <c r="G651" i="1"/>
  <c r="J651" i="1" s="1"/>
  <c r="D15" i="13"/>
  <c r="C15" i="13"/>
  <c r="C124" i="2"/>
  <c r="C125" i="2"/>
  <c r="E16" i="13"/>
  <c r="C16" i="13"/>
  <c r="L197" i="1"/>
  <c r="C32" i="10"/>
  <c r="H545" i="1"/>
  <c r="L534" i="1"/>
  <c r="G338" i="1"/>
  <c r="G352" i="1" s="1"/>
  <c r="I338" i="1"/>
  <c r="I352" i="1"/>
  <c r="C11" i="10"/>
  <c r="H662" i="1"/>
  <c r="I662" i="1"/>
  <c r="E124" i="2"/>
  <c r="C21" i="10"/>
  <c r="J352" i="1"/>
  <c r="H648" i="1"/>
  <c r="E122" i="2"/>
  <c r="E110" i="2"/>
  <c r="G661" i="1"/>
  <c r="I661" i="1" s="1"/>
  <c r="F31" i="13"/>
  <c r="C13" i="10"/>
  <c r="E112" i="2"/>
  <c r="G549" i="1"/>
  <c r="G552" i="1"/>
  <c r="L529" i="1"/>
  <c r="F549" i="1"/>
  <c r="F552" i="1"/>
  <c r="G31" i="13"/>
  <c r="G33" i="13"/>
  <c r="K338" i="1"/>
  <c r="K352" i="1" s="1"/>
  <c r="H328" i="1"/>
  <c r="H338" i="1"/>
  <c r="H352" i="1" s="1"/>
  <c r="F290" i="1"/>
  <c r="F338" i="1"/>
  <c r="F352" i="1"/>
  <c r="H605" i="1"/>
  <c r="K604" i="1"/>
  <c r="K605" i="1"/>
  <c r="G648" i="1"/>
  <c r="F661" i="1"/>
  <c r="D127" i="2"/>
  <c r="D128" i="2"/>
  <c r="D145" i="2"/>
  <c r="L362" i="1"/>
  <c r="G635" i="1" s="1"/>
  <c r="J635" i="1" s="1"/>
  <c r="E121" i="2"/>
  <c r="C18" i="10"/>
  <c r="C20" i="10"/>
  <c r="E123" i="2"/>
  <c r="E114" i="2"/>
  <c r="C24" i="10"/>
  <c r="L290" i="1"/>
  <c r="E109" i="2"/>
  <c r="E115" i="2" s="1"/>
  <c r="J552" i="1"/>
  <c r="C10" i="10"/>
  <c r="C109" i="2"/>
  <c r="L211" i="1"/>
  <c r="L257" i="1" s="1"/>
  <c r="H552" i="1"/>
  <c r="K551" i="1"/>
  <c r="J648" i="1"/>
  <c r="C27" i="10"/>
  <c r="K549" i="1"/>
  <c r="K552" i="1" s="1"/>
  <c r="A31" i="12"/>
  <c r="F474" i="1"/>
  <c r="F476" i="1" s="1"/>
  <c r="H622" i="1" s="1"/>
  <c r="J622" i="1" s="1"/>
  <c r="C115" i="2" l="1"/>
  <c r="J434" i="1"/>
  <c r="I112" i="1"/>
  <c r="I193" i="1" s="1"/>
  <c r="G630" i="1" s="1"/>
  <c r="J630" i="1" s="1"/>
  <c r="F56" i="2"/>
  <c r="F63" i="2" s="1"/>
  <c r="D5" i="13"/>
  <c r="L328" i="1"/>
  <c r="H660" i="1" s="1"/>
  <c r="H664" i="1" s="1"/>
  <c r="H33" i="13"/>
  <c r="C112" i="2"/>
  <c r="E119" i="2"/>
  <c r="E128" i="2" s="1"/>
  <c r="E145" i="2" s="1"/>
  <c r="C16" i="10"/>
  <c r="C28" i="10" s="1"/>
  <c r="L309" i="1"/>
  <c r="C123" i="2"/>
  <c r="C128" i="2" s="1"/>
  <c r="D14" i="13"/>
  <c r="C14" i="13" s="1"/>
  <c r="F545" i="1"/>
  <c r="J649" i="1"/>
  <c r="G18" i="2"/>
  <c r="G257" i="1"/>
  <c r="G271" i="1" s="1"/>
  <c r="J640" i="1"/>
  <c r="J19" i="1"/>
  <c r="G621" i="1" s="1"/>
  <c r="F130" i="2"/>
  <c r="F144" i="2" s="1"/>
  <c r="F145" i="2" s="1"/>
  <c r="L382" i="1"/>
  <c r="G636" i="1" s="1"/>
  <c r="J636" i="1" s="1"/>
  <c r="C29" i="10"/>
  <c r="E142" i="2"/>
  <c r="C26" i="10"/>
  <c r="C23" i="10"/>
  <c r="C113" i="2"/>
  <c r="C85" i="2"/>
  <c r="C91" i="2" s="1"/>
  <c r="F169" i="1"/>
  <c r="C39" i="10" s="1"/>
  <c r="C51" i="2"/>
  <c r="D17" i="13"/>
  <c r="C17" i="13" s="1"/>
  <c r="G51" i="1"/>
  <c r="D39" i="2"/>
  <c r="D50" i="2" s="1"/>
  <c r="D51" i="2" s="1"/>
  <c r="E33" i="13"/>
  <c r="D35" i="13" s="1"/>
  <c r="H476" i="1"/>
  <c r="H624" i="1" s="1"/>
  <c r="J624" i="1"/>
  <c r="G162" i="2"/>
  <c r="G157" i="2"/>
  <c r="J43" i="1"/>
  <c r="I460" i="1"/>
  <c r="F18" i="2"/>
  <c r="H271" i="1"/>
  <c r="L270" i="1"/>
  <c r="E132" i="2"/>
  <c r="E144" i="2" s="1"/>
  <c r="C141" i="2"/>
  <c r="C144" i="2" s="1"/>
  <c r="H112" i="1"/>
  <c r="H193" i="1" s="1"/>
  <c r="G629" i="1" s="1"/>
  <c r="J629" i="1" s="1"/>
  <c r="G644" i="1"/>
  <c r="J644" i="1" s="1"/>
  <c r="J111" i="1"/>
  <c r="J112" i="1" s="1"/>
  <c r="J193" i="1" s="1"/>
  <c r="I448" i="1"/>
  <c r="F452" i="1"/>
  <c r="F461" i="1" s="1"/>
  <c r="H639" i="1" s="1"/>
  <c r="J639" i="1" s="1"/>
  <c r="L271" i="1"/>
  <c r="G632" i="1" s="1"/>
  <c r="J632" i="1" s="1"/>
  <c r="F660" i="1"/>
  <c r="L524" i="1"/>
  <c r="L545" i="1" s="1"/>
  <c r="C25" i="10"/>
  <c r="G637" i="1"/>
  <c r="J637" i="1" s="1"/>
  <c r="D104" i="2"/>
  <c r="D103" i="2"/>
  <c r="F91" i="2"/>
  <c r="D18" i="2"/>
  <c r="C56" i="2"/>
  <c r="C63" i="2" s="1"/>
  <c r="C104" i="2" s="1"/>
  <c r="C35" i="10"/>
  <c r="F112" i="1"/>
  <c r="F193" i="1" s="1"/>
  <c r="G627" i="1" s="1"/>
  <c r="J627" i="1" s="1"/>
  <c r="G104" i="2"/>
  <c r="G160" i="2"/>
  <c r="C30" i="10" l="1"/>
  <c r="D22" i="10"/>
  <c r="D24" i="10"/>
  <c r="D12" i="10"/>
  <c r="D11" i="10"/>
  <c r="D15" i="10"/>
  <c r="D13" i="10"/>
  <c r="D17" i="10"/>
  <c r="D21" i="10"/>
  <c r="D20" i="10"/>
  <c r="D19" i="10"/>
  <c r="D10" i="10"/>
  <c r="D18" i="10"/>
  <c r="D27" i="10"/>
  <c r="H667" i="1"/>
  <c r="H672" i="1"/>
  <c r="C6" i="10" s="1"/>
  <c r="C145" i="2"/>
  <c r="G631" i="1"/>
  <c r="J631" i="1" s="1"/>
  <c r="G646" i="1"/>
  <c r="J646" i="1" s="1"/>
  <c r="D39" i="10"/>
  <c r="D26" i="10"/>
  <c r="F104" i="2"/>
  <c r="C5" i="13"/>
  <c r="D33" i="13"/>
  <c r="D36" i="13" s="1"/>
  <c r="C36" i="10"/>
  <c r="C41" i="10"/>
  <c r="D25" i="10"/>
  <c r="J51" i="1"/>
  <c r="G42" i="2"/>
  <c r="G50" i="2" s="1"/>
  <c r="G623" i="1"/>
  <c r="J623" i="1" s="1"/>
  <c r="G52" i="1"/>
  <c r="H618" i="1" s="1"/>
  <c r="J618" i="1" s="1"/>
  <c r="L338" i="1"/>
  <c r="L352" i="1" s="1"/>
  <c r="G633" i="1" s="1"/>
  <c r="J633" i="1" s="1"/>
  <c r="G660" i="1"/>
  <c r="G664" i="1" s="1"/>
  <c r="D31" i="13"/>
  <c r="C31" i="13" s="1"/>
  <c r="F664" i="1"/>
  <c r="I452" i="1"/>
  <c r="I461" i="1" s="1"/>
  <c r="H642" i="1" s="1"/>
  <c r="J642" i="1" s="1"/>
  <c r="J22" i="1"/>
  <c r="D23" i="10"/>
  <c r="D16" i="10"/>
  <c r="D28" i="10" l="1"/>
  <c r="I660" i="1"/>
  <c r="I664" i="1" s="1"/>
  <c r="D40" i="10"/>
  <c r="D37" i="10"/>
  <c r="D38" i="10"/>
  <c r="G672" i="1"/>
  <c r="C5" i="10" s="1"/>
  <c r="G667" i="1"/>
  <c r="F672" i="1"/>
  <c r="C4" i="10" s="1"/>
  <c r="F667" i="1"/>
  <c r="D35" i="10"/>
  <c r="D41" i="10" s="1"/>
  <c r="J32" i="1"/>
  <c r="G21" i="2"/>
  <c r="G31" i="2" s="1"/>
  <c r="G51" i="2" s="1"/>
  <c r="J52" i="1"/>
  <c r="H621" i="1" s="1"/>
  <c r="J621" i="1" s="1"/>
  <c r="G626" i="1"/>
  <c r="J626" i="1" s="1"/>
  <c r="D36" i="10"/>
  <c r="H656" i="1" l="1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<sst xmlns="http://schemas.openxmlformats.org/spreadsheetml/2006/main" count="3958" uniqueCount="915">
  <si>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</si>
  <si>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</si>
  <si>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</si>
  <si>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</si>
  <si>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</si>
  <si>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</si>
  <si>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</si>
  <si>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</si>
  <si>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</si>
  <si>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</si>
  <si>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</si>
  <si>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</si>
  <si>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</si>
  <si>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</si>
  <si>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</si>
  <si>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</si>
  <si>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</si>
  <si>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</si>
  <si>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</si>
  <si>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</si>
  <si>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</si>
  <si>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</si>
  <si>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</si>
  <si>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</si>
  <si>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</si>
  <si>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</si>
  <si>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</si>
  <si>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</si>
  <si>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</si>
  <si>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</si>
  <si>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</si>
  <si>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</si>
  <si>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</si>
  <si>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</si>
  <si>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</si>
  <si>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</si>
  <si>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</si>
  <si>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</si>
  <si>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</si>
  <si>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</si>
  <si>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</si>
  <si>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</si>
  <si>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</si>
  <si>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</si>
  <si>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</si>
  <si>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</si>
  <si>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</si>
  <si>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</si>
  <si>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</si>
  <si>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</si>
  <si>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</si>
  <si>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</si>
  <si>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</si>
  <si>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</si>
  <si>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</si>
  <si>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</si>
  <si>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</si>
  <si>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</si>
  <si>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</si>
  <si>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</si>
  <si>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</si>
  <si>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</si>
  <si>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</si>
  <si>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</si>
  <si>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</si>
  <si>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</si>
  <si>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</si>
  <si>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</si>
  <si>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</si>
  <si>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</si>
  <si>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</si>
  <si>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</si>
  <si>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</si>
  <si>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</si>
  <si>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</si>
  <si>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</si>
  <si>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</si>
  <si>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</si>
  <si>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</si>
  <si>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</si>
  <si>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</si>
  <si>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</si>
  <si>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</si>
  <si>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</si>
  <si>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</si>
  <si>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</si>
  <si>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</si>
  <si>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</si>
  <si>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</si>
  <si>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</si>
  <si>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</si>
  <si>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</si>
  <si>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</si>
  <si>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</si>
  <si>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</si>
  <si>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</si>
  <si>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</si>
  <si>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</si>
  <si>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</si>
  <si>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</si>
  <si>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</si>
  <si>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</si>
  <si>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</si>
  <si>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</si>
  <si>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</si>
  <si>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</si>
  <si>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</si>
  <si>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</si>
  <si>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</si>
  <si>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</si>
  <si>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</si>
  <si>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</si>
  <si>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</si>
  <si>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</si>
  <si>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</si>
  <si>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</si>
  <si>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</si>
  <si>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</si>
  <si>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</si>
  <si>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</si>
  <si>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</si>
  <si>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</si>
  <si>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</si>
  <si>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</si>
  <si>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</si>
  <si>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</si>
  <si>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</si>
  <si>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</si>
  <si>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</si>
  <si>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</si>
  <si>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</si>
  <si>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</si>
  <si>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</si>
  <si>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</si>
  <si>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</si>
  <si>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</si>
  <si>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</si>
  <si>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</si>
  <si>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</si>
  <si>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</si>
  <si>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</si>
  <si>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</si>
  <si>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</si>
  <si>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</si>
  <si>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</si>
  <si>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</si>
  <si>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</si>
  <si>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</si>
  <si>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</si>
  <si>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</si>
  <si>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</si>
  <si>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</si>
  <si>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</si>
  <si>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</si>
  <si>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</si>
  <si>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</si>
  <si>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</si>
  <si>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</si>
  <si>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</si>
  <si>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</si>
  <si>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</si>
  <si>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</si>
  <si>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</si>
  <si>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</si>
  <si>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</si>
  <si>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</si>
  <si>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</si>
  <si>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</si>
  <si>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</si>
  <si>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</si>
  <si>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</si>
  <si>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</si>
  <si>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</si>
  <si>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</si>
  <si>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</si>
  <si>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</si>
  <si>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</si>
  <si>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</si>
  <si>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</si>
  <si>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</si>
  <si>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</si>
  <si>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</si>
  <si>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</si>
  <si>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</si>
  <si>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</si>
  <si>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</si>
  <si>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</si>
  <si>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</si>
  <si>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</si>
  <si>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</si>
  <si>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</si>
  <si>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</si>
  <si>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</si>
  <si>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</si>
  <si>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</si>
  <si>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</si>
  <si>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</si>
  <si>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</si>
  <si>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</si>
  <si>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</si>
  <si>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</si>
  <si>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</si>
  <si>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</si>
  <si>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</si>
  <si>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</si>
  <si>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</si>
  <si>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</si>
  <si>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</si>
  <si>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</si>
  <si>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</si>
  <si>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</si>
  <si>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</si>
  <si>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</si>
  <si>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</si>
  <si>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</si>
  <si>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</si>
  <si>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</si>
  <si>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</si>
  <si>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</si>
  <si>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</si>
  <si>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</si>
  <si>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</si>
  <si>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</si>
  <si>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</si>
  <si>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</si>
  <si>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</si>
  <si>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</si>
  <si>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</si>
  <si>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</si>
  <si>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</si>
  <si>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</si>
  <si>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</si>
  <si>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</si>
  <si>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</si>
  <si>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</si>
  <si>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</si>
  <si>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</si>
  <si>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</si>
  <si>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</si>
  <si>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</si>
  <si>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</si>
  <si>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</si>
  <si>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</si>
  <si>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</si>
  <si>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</si>
  <si>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</si>
  <si>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</si>
  <si>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</si>
  <si>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</si>
  <si>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</si>
  <si>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</si>
  <si>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</si>
  <si>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</si>
  <si>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</si>
  <si>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</si>
  <si>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</si>
  <si>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</si>
  <si>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</si>
  <si>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</si>
  <si>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</si>
  <si>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</si>
  <si>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</si>
  <si>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</si>
  <si>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</si>
  <si>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</si>
  <si>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</si>
  <si>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</si>
  <si>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</si>
  <si>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</si>
  <si>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</si>
  <si>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</si>
  <si>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</si>
  <si>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</si>
  <si>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</si>
  <si>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</si>
  <si>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</si>
  <si>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</si>
  <si>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</si>
  <si>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</si>
  <si>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</si>
  <si>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</si>
  <si>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</si>
  <si>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</si>
  <si>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</si>
  <si>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</si>
  <si>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</si>
  <si>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</si>
  <si>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</si>
  <si>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</si>
  <si>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</si>
  <si>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</si>
  <si>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</si>
  <si>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</si>
  <si>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</si>
  <si>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</si>
  <si>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</si>
  <si>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</si>
  <si>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</si>
  <si>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</si>
  <si>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</si>
  <si>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</si>
  <si>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</si>
  <si>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</si>
  <si>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</si>
  <si>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</si>
  <si>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</si>
  <si>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</si>
  <si>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</si>
  <si>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</si>
  <si>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</si>
  <si>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</si>
  <si>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</si>
  <si>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</si>
  <si>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</si>
  <si>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</si>
  <si>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</si>
  <si>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</si>
  <si>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</si>
  <si>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</si>
  <si>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</si>
  <si>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</si>
  <si>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</si>
  <si>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</si>
  <si>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</si>
  <si>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</si>
  <si>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</si>
  <si>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</si>
  <si>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</si>
  <si>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</si>
  <si>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</si>
  <si>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</si>
  <si>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</si>
  <si>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</si>
  <si>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</si>
  <si>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</si>
  <si>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</si>
  <si>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</si>
  <si>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</si>
  <si>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</si>
  <si>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</si>
  <si>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</si>
  <si>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</si>
  <si>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</si>
  <si>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</si>
  <si>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</si>
  <si>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</si>
  <si>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</si>
  <si>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</si>
  <si>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</si>
  <si>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</si>
  <si>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</si>
  <si>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</si>
  <si>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</si>
  <si>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</si>
  <si>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</si>
  <si>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</si>
  <si>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</si>
  <si>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</si>
  <si>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</si>
  <si>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</si>
  <si>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</si>
  <si>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</si>
  <si>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</si>
  <si>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</si>
  <si>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</si>
  <si>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</si>
  <si>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</si>
  <si>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</si>
  <si>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</si>
  <si>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</si>
  <si>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</si>
  <si>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</si>
  <si>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</si>
  <si>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</si>
  <si>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</si>
  <si>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</si>
  <si>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</si>
  <si>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</si>
  <si>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</si>
  <si>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</si>
  <si>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</si>
  <si>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</si>
  <si>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</si>
  <si>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</si>
  <si>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</si>
  <si>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</si>
  <si>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</si>
  <si>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</si>
  <si>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</si>
  <si>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</si>
  <si>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</si>
  <si>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</si>
  <si>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</si>
  <si>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</si>
  <si>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</si>
  <si>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</si>
  <si>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</si>
  <si>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</si>
  <si>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</si>
  <si>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</si>
  <si>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</si>
  <si>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</si>
  <si>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</si>
  <si>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</si>
  <si>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</si>
  <si>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</si>
  <si>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</si>
  <si>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</si>
  <si>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</si>
  <si>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</si>
  <si>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</si>
  <si>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</si>
  <si>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</si>
  <si>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</si>
  <si>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</si>
  <si>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</si>
  <si>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</si>
  <si>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</si>
  <si>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</si>
  <si>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</si>
  <si>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</si>
  <si>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</si>
  <si>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</si>
  <si>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</si>
  <si>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</si>
  <si>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</si>
  <si>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</si>
  <si>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</si>
  <si>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</si>
  <si>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</si>
  <si>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</si>
  <si>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</si>
  <si>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</si>
  <si>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</si>
  <si>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</si>
  <si>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</si>
  <si>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</si>
  <si>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</si>
  <si>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</si>
  <si>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</si>
  <si>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</si>
  <si>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</si>
  <si>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</si>
  <si>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</si>
  <si>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</si>
  <si>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</si>
  <si>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</si>
  <si>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</si>
  <si>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</si>
  <si>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</si>
  <si>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</si>
  <si>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</si>
  <si>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</si>
  <si>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</si>
  <si>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</si>
  <si>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</si>
  <si>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</si>
  <si>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</si>
  <si>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</si>
  <si>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</si>
  <si>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</si>
  <si>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</si>
  <si>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</si>
  <si>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</si>
  <si>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</si>
  <si>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</si>
  <si>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</si>
  <si>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</si>
  <si>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</si>
  <si>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</si>
  <si>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</si>
  <si>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</si>
  <si>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</si>
  <si>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</si>
  <si>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</si>
  <si>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</si>
  <si>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</si>
  <si>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</si>
  <si>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</si>
  <si>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</si>
  <si>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</si>
  <si>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</si>
  <si>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</si>
  <si>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</si>
  <si>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</si>
  <si>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</si>
  <si>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</si>
  <si>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</si>
  <si>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</si>
  <si>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</si>
  <si>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</si>
  <si>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</si>
  <si>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</si>
  <si>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</si>
  <si>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</si>
  <si>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</si>
  <si>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</si>
  <si>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</si>
  <si>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</si>
  <si>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</si>
  <si>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</si>
  <si>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</si>
  <si>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</si>
  <si>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</si>
  <si>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</si>
  <si>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</si>
  <si>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</si>
  <si>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</si>
  <si>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</si>
  <si>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</si>
  <si>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</si>
  <si>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</si>
  <si>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</si>
  <si>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</si>
  <si>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</si>
  <si>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</si>
  <si>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</si>
  <si>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</si>
  <si>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</si>
  <si>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</si>
  <si>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</si>
  <si>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</si>
  <si>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</si>
  <si>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</si>
  <si>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</si>
  <si>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</si>
  <si>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</si>
  <si>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</si>
  <si>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</si>
  <si>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</si>
  <si>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</si>
  <si>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</si>
  <si>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</si>
  <si>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</si>
  <si>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</si>
  <si>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</si>
  <si>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</si>
  <si>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</si>
  <si>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</si>
  <si>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</si>
  <si>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</si>
  <si>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</si>
  <si>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</si>
  <si>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</si>
  <si>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</si>
  <si>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</si>
  <si>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</si>
  <si>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</si>
  <si>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</si>
  <si>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</si>
  <si>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</si>
  <si>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</si>
  <si>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</si>
  <si>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</si>
  <si>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</si>
  <si>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</si>
  <si>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</si>
  <si>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</si>
  <si>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</si>
  <si>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</si>
  <si>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</si>
  <si>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</si>
  <si>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</si>
  <si>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</si>
  <si>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</si>
  <si>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</si>
  <si>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</si>
  <si>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</si>
  <si>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</si>
  <si>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</si>
  <si>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</si>
  <si>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</si>
  <si>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</si>
  <si>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</si>
  <si>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</si>
  <si>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</si>
  <si>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</si>
  <si>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</si>
  <si>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</si>
  <si>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</si>
  <si>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</si>
  <si>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</si>
  <si>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</si>
  <si>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</si>
  <si>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</si>
  <si>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</si>
  <si>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</si>
  <si>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</si>
  <si>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</si>
  <si>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</si>
  <si>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</si>
  <si>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</si>
  <si>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</si>
  <si>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</si>
  <si>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</si>
  <si>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</si>
  <si>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</si>
  <si>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</si>
  <si>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</si>
  <si>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</si>
  <si>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</si>
  <si>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</si>
  <si>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</si>
  <si>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</si>
  <si>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</si>
  <si>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</si>
  <si>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</si>
  <si>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</si>
  <si>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</si>
  <si>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</si>
  <si>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</si>
  <si>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</si>
  <si>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</si>
  <si>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</si>
  <si>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</si>
  <si>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</si>
  <si>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</si>
  <si>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</si>
  <si>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</si>
  <si>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</si>
  <si>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</si>
  <si>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</si>
  <si>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</si>
  <si>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</si>
  <si>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</si>
  <si>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</si>
  <si>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</si>
  <si>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</si>
  <si>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</si>
  <si>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</si>
  <si>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</si>
  <si>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</si>
  <si>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</si>
  <si>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</si>
  <si>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</si>
  <si>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</si>
  <si>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</si>
  <si>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</si>
  <si>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</si>
  <si>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</si>
  <si>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</si>
  <si>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</si>
  <si>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</si>
  <si>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</si>
  <si>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</si>
  <si>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</si>
  <si>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</si>
  <si>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</si>
  <si>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</si>
  <si>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</si>
  <si>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</si>
  <si>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</si>
  <si>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</si>
  <si>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</si>
  <si>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</si>
  <si>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</si>
  <si>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</si>
  <si>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</si>
  <si>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</si>
  <si>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</si>
  <si>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</si>
  <si>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</si>
  <si>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</si>
  <si>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</si>
  <si>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</si>
  <si>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</si>
  <si>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</si>
  <si>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</si>
  <si>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</si>
  <si>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</si>
  <si>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</si>
  <si>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</si>
  <si>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</si>
  <si>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</si>
  <si>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</si>
  <si>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</si>
  <si>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</si>
  <si>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</si>
  <si>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</si>
  <si>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</si>
  <si>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</si>
  <si>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</si>
  <si>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</si>
  <si>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</si>
  <si>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</si>
  <si>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</si>
  <si>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</si>
  <si>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</si>
  <si>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</si>
  <si>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</si>
  <si>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</si>
  <si>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</si>
  <si>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</si>
  <si>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</si>
  <si>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</si>
  <si>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</si>
  <si>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</si>
  <si>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</si>
  <si>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</si>
  <si>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</si>
  <si>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</si>
  <si>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</si>
  <si>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</si>
  <si>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</si>
  <si>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</si>
  <si>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</si>
  <si>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</si>
  <si>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</si>
  <si>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</si>
  <si>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</si>
  <si>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</si>
  <si>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</si>
  <si>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</si>
  <si>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</si>
  <si>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</si>
  <si>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</si>
  <si>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</si>
  <si>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</si>
  <si>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</si>
  <si>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</si>
  <si>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</si>
  <si>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</si>
  <si>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</si>
  <si>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</si>
  <si>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</si>
  <si>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</si>
  <si>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</si>
  <si>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</si>
  <si>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</si>
  <si>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</si>
  <si>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</si>
  <si>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</si>
  <si>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</si>
  <si>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</si>
  <si>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</si>
  <si>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</si>
  <si>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</si>
  <si>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</si>
  <si>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</si>
  <si>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</si>
  <si>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</si>
  <si>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</si>
  <si>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</si>
  <si>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</si>
  <si>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</si>
  <si>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</si>
  <si>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</si>
  <si>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</si>
  <si>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</si>
  <si>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</si>
  <si>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</si>
  <si>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</si>
  <si>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</si>
  <si>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</si>
  <si>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</si>
  <si>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</si>
  <si>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</si>
  <si>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</si>
  <si>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</si>
  <si>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</si>
  <si>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</si>
  <si>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</si>
  <si>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</si>
  <si>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</si>
  <si>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</si>
  <si>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</si>
  <si>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</si>
  <si>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</si>
  <si>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</si>
  <si>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</si>
  <si>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</si>
  <si>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</si>
  <si>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</si>
  <si>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</si>
  <si>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</si>
  <si>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</si>
  <si>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</si>
  <si>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</si>
  <si>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</si>
  <si>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</si>
  <si>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</si>
  <si>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</si>
  <si>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</si>
  <si>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</si>
  <si>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</si>
  <si>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</si>
  <si>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</si>
  <si>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</si>
  <si>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</si>
  <si>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</si>
  <si>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</si>
  <si>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</si>
  <si>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</si>
  <si>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</si>
  <si>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</si>
  <si>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</si>
  <si>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</si>
  <si>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</si>
  <si>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</si>
  <si>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</si>
  <si>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</si>
  <si>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</si>
  <si>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</si>
  <si>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</si>
  <si>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</si>
  <si>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</si>
  <si>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</si>
  <si>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</si>
  <si>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</si>
  <si>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</si>
  <si>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</si>
  <si>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</si>
  <si>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</si>
  <si>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</si>
  <si>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</si>
  <si>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</si>
  <si>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</si>
  <si>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</si>
  <si>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</si>
  <si>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</si>
  <si>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</si>
  <si>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</si>
  <si>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</si>
  <si>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</si>
  <si>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</si>
  <si>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</si>
  <si>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</si>
  <si>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</si>
  <si>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</si>
  <si>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</si>
  <si>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</si>
  <si>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</si>
  <si>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</si>
  <si>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</si>
  <si>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</si>
  <si>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</si>
  <si>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</si>
  <si>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</si>
  <si>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</si>
  <si>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</si>
  <si>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</si>
  <si>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</si>
  <si>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</si>
  <si>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</si>
  <si>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</si>
  <si>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</si>
  <si>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</si>
  <si>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</si>
  <si>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</si>
  <si>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</si>
  <si>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</si>
  <si>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</si>
  <si>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</si>
  <si>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</si>
  <si>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</si>
  <si>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</si>
  <si>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</si>
  <si>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</si>
  <si>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</si>
  <si>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</si>
  <si>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</si>
  <si>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</si>
  <si>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</si>
  <si>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</si>
  <si>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</si>
  <si>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</si>
  <si>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</si>
  <si>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</si>
  <si>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</si>
  <si>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</si>
  <si>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</si>
  <si>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</si>
  <si>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</si>
  <si>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</si>
  <si>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</si>
  <si>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</si>
  <si>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</si>
  <si>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</si>
  <si>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</si>
  <si>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</si>
  <si>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</si>
  <si>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</si>
  <si>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</si>
  <si>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</si>
  <si>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</si>
  <si>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</si>
  <si>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</si>
  <si>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</si>
  <si>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</si>
  <si>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</si>
  <si>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</si>
  <si>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</si>
  <si>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</si>
  <si>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</si>
  <si>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</si>
  <si>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</si>
  <si>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</si>
  <si>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</si>
  <si>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</si>
  <si>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</si>
  <si>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</si>
  <si>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</si>
  <si>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</si>
  <si>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</si>
  <si>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</si>
  <si>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</si>
  <si>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</si>
  <si>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</si>
  <si>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</si>
  <si>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</si>
  <si>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</si>
  <si>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</si>
  <si>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NASHUA SCHOOL DISTRICT</t>
  </si>
  <si>
    <t>*SEE SUPPLEMENTAL SCHEDULE*</t>
  </si>
  <si>
    <t>SCHOLARSHIP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</si>
</sst>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371</v>
      </c>
      <c r="C2" s="21">
        <v>371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SUM(I439)</f>
        <v>3445905.83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5537909.8399999999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294270.17</v>
      </c>
      <c r="H12" s="18"/>
      <c r="I12" s="18">
        <v>2846696.89</v>
      </c>
      <c r="J12" s="67">
        <f>SUM(I441)</f>
        <v>22601.51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ROUND(207930.77+3605.46,2)</f>
        <v>211536.23</v>
      </c>
      <c r="H13" s="18">
        <v>2723582.45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29679.79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505806.4</v>
      </c>
      <c r="H19" s="41">
        <f>SUM(H9:H18)</f>
        <v>2753262.24</v>
      </c>
      <c r="I19" s="41">
        <f>SUM(I9:I18)</f>
        <v>2846696.89</v>
      </c>
      <c r="J19" s="41">
        <f>SUM(J9:J18)</f>
        <v>9006417.1799999997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1515082.83</v>
      </c>
      <c r="I22" s="18"/>
      <c r="J22" s="67">
        <f>SUM(I448)</f>
        <v>240805.49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811.14</v>
      </c>
      <c r="H24" s="18">
        <v>363670.44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58334.52</v>
      </c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811.14</v>
      </c>
      <c r="H32" s="41">
        <f>SUM(H22:H31)</f>
        <v>1937087.79</v>
      </c>
      <c r="I32" s="41">
        <f>SUM(I22:I31)</f>
        <v>0</v>
      </c>
      <c r="J32" s="41">
        <f>SUM(J22:J31)</f>
        <v>240805.49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5036348.5999999996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458649.42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ROUND(513255.86-44748.6,2)</f>
        <v>468507.26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ROUND(371664.35-210934.78,2)</f>
        <v>160729.57</v>
      </c>
      <c r="I48" s="18">
        <v>392732.14</v>
      </c>
      <c r="J48" s="13">
        <f>SUM(I459)</f>
        <v>3199188.77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36488</v>
      </c>
      <c r="H49" s="18">
        <v>655444.88</v>
      </c>
      <c r="I49" s="18">
        <v>2453964.75</v>
      </c>
      <c r="J49" s="13">
        <f>I454</f>
        <v>71424.899999999994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504995.26</v>
      </c>
      <c r="H51" s="41">
        <f>SUM(H35:H50)</f>
        <v>816174.45</v>
      </c>
      <c r="I51" s="41">
        <f>SUM(I35:I50)</f>
        <v>2846696.89</v>
      </c>
      <c r="J51" s="41">
        <f>SUM(J35:J50)</f>
        <v>8765611.6899999995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505806.4</v>
      </c>
      <c r="H52" s="41">
        <f>H51+H32</f>
        <v>2753262.24</v>
      </c>
      <c r="I52" s="41">
        <f>I51+I32</f>
        <v>2846696.89</v>
      </c>
      <c r="J52" s="41">
        <f>J51+J32</f>
        <v>9006417.1799999997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88572312.51-135940</f>
        <v>88436372.510000005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88436372.510000005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23218</v>
      </c>
      <c r="G63" s="24" t="s">
        <v>289</v>
      </c>
      <c r="H63" s="18">
        <f>80392+109485+35487.48</f>
        <v>225364.48000000001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f>64860-590</f>
        <v>64270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f>60620</f>
        <v>60620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f>67365.46</f>
        <v>67365.460000000006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f>325996.55</f>
        <v>325996.55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>
        <v>136781.04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23218</v>
      </c>
      <c r="G79" s="45" t="s">
        <v>289</v>
      </c>
      <c r="H79" s="41">
        <f>SUM(H63:H78)</f>
        <v>880397.53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81338.75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81338.75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558.27</v>
      </c>
      <c r="H96" s="18"/>
      <c r="I96" s="18"/>
      <c r="J96" s="18">
        <f>4144.96+2285.1+181587.84</f>
        <v>188017.9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1877797.49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f>39062+52540+187486.76+8606.86</f>
        <v>287695.62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161476.25</v>
      </c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f>288936.85+26997.92</f>
        <v>315934.76999999996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48016.5+25.35</f>
        <v>48041.85</v>
      </c>
      <c r="G110" s="18"/>
      <c r="H110" s="18"/>
      <c r="I110" s="18">
        <v>20000</v>
      </c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48041.85</v>
      </c>
      <c r="G111" s="41">
        <f>SUM(G96:G110)</f>
        <v>1878355.76</v>
      </c>
      <c r="H111" s="41">
        <f>SUM(H96:H110)</f>
        <v>449171.87</v>
      </c>
      <c r="I111" s="41">
        <f>SUM(I96:I110)</f>
        <v>20000</v>
      </c>
      <c r="J111" s="41">
        <f>SUM(J96:J110)</f>
        <v>503952.66999999993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88588971.109999999</v>
      </c>
      <c r="G112" s="41">
        <f>G60+G111</f>
        <v>1878355.76</v>
      </c>
      <c r="H112" s="41">
        <f>H60+H79+H94+H111</f>
        <v>1329569.3999999999</v>
      </c>
      <c r="I112" s="41">
        <f>I60+I111</f>
        <v>20000</v>
      </c>
      <c r="J112" s="41">
        <f>J60+J111</f>
        <v>503952.66999999993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36088465.57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19843159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55931624.57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2469049.0299999998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444141.48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198763.86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2194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118408.72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73449.58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>
        <v>900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86030.29</v>
      </c>
      <c r="I135" s="18">
        <v>50000</v>
      </c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3114148.3699999996</v>
      </c>
      <c r="G136" s="41">
        <f>SUM(G123:G135)</f>
        <v>73449.58</v>
      </c>
      <c r="H136" s="41">
        <f>SUM(H123:H135)</f>
        <v>205339.01</v>
      </c>
      <c r="I136" s="41">
        <f>SUM(I123:I135)</f>
        <v>50000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59045772.939999998</v>
      </c>
      <c r="G140" s="41">
        <f>G121+SUM(G136:G137)</f>
        <v>73449.58</v>
      </c>
      <c r="H140" s="41">
        <f>H121+SUM(H136:H139)</f>
        <v>205339.01</v>
      </c>
      <c r="I140" s="41">
        <f>I121+I136</f>
        <v>50000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615907.77</v>
      </c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3646461.96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1747394.46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343156.85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2931424.9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2932616.57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1724089.97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25751.96</v>
      </c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1724089.97</v>
      </c>
      <c r="G162" s="41">
        <f>SUM(G150:G161)</f>
        <v>2931424.9</v>
      </c>
      <c r="H162" s="41">
        <f>SUM(H150:H161)</f>
        <v>9311289.5700000003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1724089.97</v>
      </c>
      <c r="G169" s="41">
        <f>G147+G162+SUM(G163:G168)</f>
        <v>2931424.9</v>
      </c>
      <c r="H169" s="41">
        <f>H147+H162+SUM(H163:H168)</f>
        <v>9311289.5700000003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10762900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1037100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11800000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124061.85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200000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124061.85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200000</v>
      </c>
      <c r="G192" s="41">
        <f>G183+SUM(G188:G191)</f>
        <v>0</v>
      </c>
      <c r="H192" s="41">
        <f>+H183+SUM(H188:H191)</f>
        <v>0</v>
      </c>
      <c r="I192" s="41">
        <f>I177+I183+SUM(I188:I191)</f>
        <v>11924061.85</v>
      </c>
      <c r="J192" s="41">
        <f>J183</f>
        <v>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149558834.02000001</v>
      </c>
      <c r="G193" s="47">
        <f>G112+G140+G169+G192</f>
        <v>4883230.24</v>
      </c>
      <c r="H193" s="47">
        <f>H112+H140+H169+H192</f>
        <v>10846197.98</v>
      </c>
      <c r="I193" s="47">
        <f>I112+I140+I169+I192</f>
        <v>11994061.85</v>
      </c>
      <c r="J193" s="47">
        <f>J112+J140+J192</f>
        <v>503952.66999999993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18478297.059999999</v>
      </c>
      <c r="G197" s="18">
        <v>8133402.6299999999</v>
      </c>
      <c r="H197" s="18">
        <v>206654.28</v>
      </c>
      <c r="I197" s="18">
        <v>265026.64</v>
      </c>
      <c r="J197" s="18">
        <v>51238.48</v>
      </c>
      <c r="K197" s="18">
        <v>0</v>
      </c>
      <c r="L197" s="19">
        <f>SUM(F197:K197)</f>
        <v>27134619.09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8273757.4299999997</v>
      </c>
      <c r="G198" s="18">
        <v>2906859.48</v>
      </c>
      <c r="H198" s="18">
        <v>541918.97</v>
      </c>
      <c r="I198" s="18">
        <v>33723.4</v>
      </c>
      <c r="J198" s="18">
        <v>1153.92</v>
      </c>
      <c r="K198" s="18">
        <v>0</v>
      </c>
      <c r="L198" s="19">
        <f>SUM(F198:K198)</f>
        <v>11757413.200000001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134062.01999999999</v>
      </c>
      <c r="G200" s="18">
        <v>28550.89</v>
      </c>
      <c r="H200" s="18">
        <v>14225.13</v>
      </c>
      <c r="I200" s="18">
        <v>2899.76</v>
      </c>
      <c r="J200" s="18">
        <v>0</v>
      </c>
      <c r="K200" s="18">
        <v>-1966.37</v>
      </c>
      <c r="L200" s="19">
        <f>SUM(F200:K200)</f>
        <v>177771.43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3191238.62</v>
      </c>
      <c r="G202" s="18">
        <v>1356427.33</v>
      </c>
      <c r="H202" s="18">
        <v>462386.52</v>
      </c>
      <c r="I202" s="18">
        <v>23885.3</v>
      </c>
      <c r="J202" s="18">
        <v>2197.27</v>
      </c>
      <c r="K202" s="18">
        <v>0</v>
      </c>
      <c r="L202" s="19">
        <f t="shared" ref="L202:L208" si="0">SUM(F202:K202)</f>
        <v>5036135.04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1375726.05</v>
      </c>
      <c r="G203" s="18">
        <v>561849.4</v>
      </c>
      <c r="H203" s="18">
        <v>62129.13</v>
      </c>
      <c r="I203" s="18">
        <v>202405.23</v>
      </c>
      <c r="J203" s="18">
        <v>390782.42</v>
      </c>
      <c r="K203" s="18">
        <v>0</v>
      </c>
      <c r="L203" s="19">
        <f t="shared" si="0"/>
        <v>2592892.23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821666.97</v>
      </c>
      <c r="G204" s="18">
        <v>338376.86</v>
      </c>
      <c r="H204" s="18">
        <v>310526.12</v>
      </c>
      <c r="I204" s="18">
        <v>10279.049999999999</v>
      </c>
      <c r="J204" s="18">
        <v>164.25</v>
      </c>
      <c r="K204" s="18">
        <v>38147.519999999997</v>
      </c>
      <c r="L204" s="19">
        <f t="shared" si="0"/>
        <v>1519160.7700000003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2868269.57</v>
      </c>
      <c r="G205" s="18">
        <v>1097473.4099999999</v>
      </c>
      <c r="H205" s="18">
        <v>14331.47</v>
      </c>
      <c r="I205" s="18">
        <v>27775.040000000001</v>
      </c>
      <c r="J205" s="18">
        <v>1842.48</v>
      </c>
      <c r="K205" s="18">
        <v>0</v>
      </c>
      <c r="L205" s="19">
        <f t="shared" si="0"/>
        <v>4009691.9699999997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331393.28999999998</v>
      </c>
      <c r="G206" s="18">
        <v>96482.52</v>
      </c>
      <c r="H206" s="18">
        <v>9963.24</v>
      </c>
      <c r="I206" s="18">
        <v>0</v>
      </c>
      <c r="J206" s="18">
        <v>0</v>
      </c>
      <c r="K206" s="18">
        <v>0</v>
      </c>
      <c r="L206" s="19">
        <f t="shared" si="0"/>
        <v>437839.05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2512479.34</v>
      </c>
      <c r="G207" s="18">
        <v>956795.81</v>
      </c>
      <c r="H207" s="18">
        <v>2334859.62</v>
      </c>
      <c r="I207" s="18">
        <v>363513.87</v>
      </c>
      <c r="J207" s="18">
        <v>20972.15</v>
      </c>
      <c r="K207" s="18">
        <v>-75780.800000000003</v>
      </c>
      <c r="L207" s="19">
        <f t="shared" si="0"/>
        <v>6112839.9900000002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41771.379999999997</v>
      </c>
      <c r="G208" s="18">
        <v>14654.14</v>
      </c>
      <c r="H208" s="18">
        <v>2977653.49</v>
      </c>
      <c r="I208" s="18">
        <v>564.28</v>
      </c>
      <c r="J208" s="18">
        <v>0</v>
      </c>
      <c r="K208" s="18">
        <v>0</v>
      </c>
      <c r="L208" s="19">
        <f t="shared" si="0"/>
        <v>3034643.29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118478.32</v>
      </c>
      <c r="G209" s="18">
        <v>48774.53</v>
      </c>
      <c r="H209" s="18">
        <v>92280.45</v>
      </c>
      <c r="I209" s="18">
        <v>0</v>
      </c>
      <c r="J209" s="18">
        <v>0</v>
      </c>
      <c r="K209" s="18">
        <v>0</v>
      </c>
      <c r="L209" s="19">
        <f>SUM(F209:K209)</f>
        <v>259533.3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38147140.049999997</v>
      </c>
      <c r="G211" s="41">
        <f t="shared" si="1"/>
        <v>15539647</v>
      </c>
      <c r="H211" s="41">
        <f t="shared" si="1"/>
        <v>7026928.4200000009</v>
      </c>
      <c r="I211" s="41">
        <f t="shared" si="1"/>
        <v>930072.57000000018</v>
      </c>
      <c r="J211" s="41">
        <f t="shared" si="1"/>
        <v>468350.97</v>
      </c>
      <c r="K211" s="41">
        <f t="shared" si="1"/>
        <v>-39599.650000000009</v>
      </c>
      <c r="L211" s="41">
        <f t="shared" si="1"/>
        <v>62072539.359999992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9374811.4100000001</v>
      </c>
      <c r="G215" s="18">
        <v>4200585.62</v>
      </c>
      <c r="H215" s="18">
        <v>103452.74</v>
      </c>
      <c r="I215" s="18">
        <v>173127.94</v>
      </c>
      <c r="J215" s="18">
        <v>72438.22</v>
      </c>
      <c r="K215" s="18">
        <v>0</v>
      </c>
      <c r="L215" s="19">
        <f>SUM(F215:K215)</f>
        <v>13924415.930000002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3096714.38</v>
      </c>
      <c r="G216" s="18">
        <v>1136578.1299999999</v>
      </c>
      <c r="H216" s="18">
        <v>632238.80000000005</v>
      </c>
      <c r="I216" s="18">
        <v>14498.87</v>
      </c>
      <c r="J216" s="18">
        <v>1707.21</v>
      </c>
      <c r="K216" s="18">
        <v>0</v>
      </c>
      <c r="L216" s="19">
        <f>SUM(F216:K216)</f>
        <v>4881737.3899999997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840138.17</v>
      </c>
      <c r="G217" s="18">
        <v>377480.96000000002</v>
      </c>
      <c r="H217" s="18">
        <v>1005.59</v>
      </c>
      <c r="I217" s="18">
        <v>38748</v>
      </c>
      <c r="J217" s="18">
        <v>6306.62</v>
      </c>
      <c r="K217" s="18">
        <v>0</v>
      </c>
      <c r="L217" s="19">
        <f>SUM(F217:K217)</f>
        <v>1263679.3400000003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70425.75</v>
      </c>
      <c r="G218" s="18">
        <v>12416.72</v>
      </c>
      <c r="H218" s="18">
        <v>57687.33</v>
      </c>
      <c r="I218" s="18">
        <v>1323.52</v>
      </c>
      <c r="J218" s="18">
        <v>0</v>
      </c>
      <c r="K218" s="18">
        <v>-897.5</v>
      </c>
      <c r="L218" s="19">
        <f>SUM(F218:K218)</f>
        <v>140955.81999999998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1965155.14</v>
      </c>
      <c r="G220" s="18">
        <v>811997.84</v>
      </c>
      <c r="H220" s="18">
        <v>205649.25</v>
      </c>
      <c r="I220" s="18">
        <v>9629.64</v>
      </c>
      <c r="J220" s="18">
        <v>977.25</v>
      </c>
      <c r="K220" s="18">
        <v>0</v>
      </c>
      <c r="L220" s="19">
        <f t="shared" ref="L220:L226" si="2">SUM(F220:K220)</f>
        <v>2993409.12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412430.39</v>
      </c>
      <c r="G221" s="18">
        <v>171735.32</v>
      </c>
      <c r="H221" s="18">
        <v>28357.26</v>
      </c>
      <c r="I221" s="18">
        <v>89968.639999999999</v>
      </c>
      <c r="J221" s="18">
        <v>178362.65</v>
      </c>
      <c r="K221" s="18">
        <v>0</v>
      </c>
      <c r="L221" s="19">
        <f t="shared" si="2"/>
        <v>880854.26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375028.9</v>
      </c>
      <c r="G222" s="18">
        <v>154443.48000000001</v>
      </c>
      <c r="H222" s="18">
        <v>141731.72</v>
      </c>
      <c r="I222" s="18">
        <v>4691.6099999999997</v>
      </c>
      <c r="J222" s="18">
        <v>74.97</v>
      </c>
      <c r="K222" s="18">
        <v>17411.46</v>
      </c>
      <c r="L222" s="19">
        <f t="shared" si="2"/>
        <v>693382.1399999999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971265.86</v>
      </c>
      <c r="G223" s="18">
        <v>391083.1</v>
      </c>
      <c r="H223" s="18">
        <v>2782.92</v>
      </c>
      <c r="I223" s="18">
        <v>8277.98</v>
      </c>
      <c r="J223" s="18">
        <v>0</v>
      </c>
      <c r="K223" s="18">
        <v>0</v>
      </c>
      <c r="L223" s="19">
        <f t="shared" si="2"/>
        <v>1373409.8599999999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151256.01</v>
      </c>
      <c r="G224" s="18">
        <v>44036.98</v>
      </c>
      <c r="H224" s="18">
        <v>4547.47</v>
      </c>
      <c r="I224" s="18">
        <v>0</v>
      </c>
      <c r="J224" s="18">
        <v>0</v>
      </c>
      <c r="K224" s="18">
        <v>0</v>
      </c>
      <c r="L224" s="19">
        <f t="shared" si="2"/>
        <v>199840.46000000002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1273124.48</v>
      </c>
      <c r="G225" s="18">
        <v>486469.88</v>
      </c>
      <c r="H225" s="18">
        <v>1065687.05</v>
      </c>
      <c r="I225" s="18">
        <v>165916.62</v>
      </c>
      <c r="J225" s="18">
        <v>9572.2000000000007</v>
      </c>
      <c r="K225" s="18">
        <v>-34588.21</v>
      </c>
      <c r="L225" s="19">
        <f t="shared" si="2"/>
        <v>2966182.0200000005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26995.67</v>
      </c>
      <c r="G226" s="18">
        <v>9470.56</v>
      </c>
      <c r="H226" s="18">
        <v>1371870.43</v>
      </c>
      <c r="I226" s="18">
        <v>364.68</v>
      </c>
      <c r="J226" s="18">
        <v>0</v>
      </c>
      <c r="K226" s="18">
        <v>0</v>
      </c>
      <c r="L226" s="19">
        <f t="shared" si="2"/>
        <v>1408701.3399999999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54076.41</v>
      </c>
      <c r="G227" s="18">
        <v>22261.89</v>
      </c>
      <c r="H227" s="18">
        <v>42119.06</v>
      </c>
      <c r="I227" s="18">
        <v>0</v>
      </c>
      <c r="J227" s="18">
        <v>0</v>
      </c>
      <c r="K227" s="18">
        <v>0</v>
      </c>
      <c r="L227" s="19">
        <f>SUM(F227:K227)</f>
        <v>118457.36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18611422.570000004</v>
      </c>
      <c r="G229" s="41">
        <f>SUM(G215:G228)</f>
        <v>7818560.4799999995</v>
      </c>
      <c r="H229" s="41">
        <f>SUM(H215:H228)</f>
        <v>3657129.6199999996</v>
      </c>
      <c r="I229" s="41">
        <f>SUM(I215:I228)</f>
        <v>506547.49999999994</v>
      </c>
      <c r="J229" s="41">
        <f>SUM(J215:J228)</f>
        <v>269439.12</v>
      </c>
      <c r="K229" s="41">
        <f t="shared" si="3"/>
        <v>-18074.25</v>
      </c>
      <c r="L229" s="41">
        <f t="shared" si="3"/>
        <v>30845025.040000003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11010931.66</v>
      </c>
      <c r="G233" s="18">
        <v>4921440.5999999996</v>
      </c>
      <c r="H233" s="18">
        <v>190284.17</v>
      </c>
      <c r="I233" s="18">
        <v>183868.04</v>
      </c>
      <c r="J233" s="18">
        <v>42392.22</v>
      </c>
      <c r="K233" s="18">
        <v>0</v>
      </c>
      <c r="L233" s="19">
        <f>SUM(F233:K233)</f>
        <v>16348916.689999999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3136071.83</v>
      </c>
      <c r="G234" s="18">
        <v>1160017.33</v>
      </c>
      <c r="H234" s="18">
        <v>3341833.64</v>
      </c>
      <c r="I234" s="18">
        <v>16460.16</v>
      </c>
      <c r="J234" s="18">
        <v>822.98</v>
      </c>
      <c r="K234" s="18">
        <v>0</v>
      </c>
      <c r="L234" s="19">
        <f>SUM(F234:K234)</f>
        <v>7655205.9400000013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2435442.27</v>
      </c>
      <c r="G235" s="18">
        <v>1124395.6000000001</v>
      </c>
      <c r="H235" s="18">
        <v>44205.77</v>
      </c>
      <c r="I235" s="18">
        <v>146645.64000000001</v>
      </c>
      <c r="J235" s="18">
        <v>25681.48</v>
      </c>
      <c r="K235" s="18">
        <v>0</v>
      </c>
      <c r="L235" s="19">
        <f>SUM(F235:K235)</f>
        <v>3776370.7600000002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438601.13</v>
      </c>
      <c r="G236" s="18">
        <v>91958.34</v>
      </c>
      <c r="H236" s="18">
        <v>425165.61</v>
      </c>
      <c r="I236" s="18">
        <v>15734.14</v>
      </c>
      <c r="J236" s="18">
        <v>0</v>
      </c>
      <c r="K236" s="18">
        <v>-193812.9</v>
      </c>
      <c r="L236" s="19">
        <f>SUM(F236:K236)</f>
        <v>777646.32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3051490.01</v>
      </c>
      <c r="G238" s="18">
        <v>1267605.08</v>
      </c>
      <c r="H238" s="18">
        <v>330577.18</v>
      </c>
      <c r="I238" s="18">
        <v>11761.44</v>
      </c>
      <c r="J238" s="18">
        <v>1567.11</v>
      </c>
      <c r="K238" s="18">
        <v>0</v>
      </c>
      <c r="L238" s="19">
        <f t="shared" ref="L238:L244" si="4">SUM(F238:K238)</f>
        <v>4663000.82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690798.68</v>
      </c>
      <c r="G239" s="18">
        <v>288169.34999999998</v>
      </c>
      <c r="H239" s="18">
        <v>42987.43</v>
      </c>
      <c r="I239" s="18">
        <v>141939.46</v>
      </c>
      <c r="J239" s="18">
        <v>263547.06</v>
      </c>
      <c r="K239" s="18">
        <v>0</v>
      </c>
      <c r="L239" s="19">
        <f t="shared" si="4"/>
        <v>1427441.9800000002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554139.35</v>
      </c>
      <c r="G240" s="18">
        <v>228204.3</v>
      </c>
      <c r="H240" s="18">
        <v>209421.51</v>
      </c>
      <c r="I240" s="18">
        <v>6932.28</v>
      </c>
      <c r="J240" s="18">
        <v>110.77</v>
      </c>
      <c r="K240" s="18">
        <v>25727.02</v>
      </c>
      <c r="L240" s="19">
        <f t="shared" si="4"/>
        <v>1024535.23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1299859.3899999999</v>
      </c>
      <c r="G241" s="18">
        <v>495272.43</v>
      </c>
      <c r="H241" s="18">
        <v>5836.92</v>
      </c>
      <c r="I241" s="18">
        <v>0</v>
      </c>
      <c r="J241" s="18">
        <v>0</v>
      </c>
      <c r="K241" s="18">
        <v>0</v>
      </c>
      <c r="L241" s="19">
        <f t="shared" si="4"/>
        <v>1800968.7399999998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223494.52</v>
      </c>
      <c r="G242" s="18">
        <v>65068.65</v>
      </c>
      <c r="H242" s="18">
        <v>6719.3</v>
      </c>
      <c r="I242" s="18">
        <v>0</v>
      </c>
      <c r="J242" s="18">
        <v>0</v>
      </c>
      <c r="K242" s="18">
        <v>0</v>
      </c>
      <c r="L242" s="19">
        <f t="shared" si="4"/>
        <v>295282.46999999997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2049279.41</v>
      </c>
      <c r="G243" s="18">
        <v>837704</v>
      </c>
      <c r="H243" s="18">
        <v>1679948.81</v>
      </c>
      <c r="I243" s="18">
        <v>245156.92</v>
      </c>
      <c r="J243" s="18">
        <v>14143.8</v>
      </c>
      <c r="K243" s="18">
        <v>-51107.23</v>
      </c>
      <c r="L243" s="19">
        <f t="shared" si="4"/>
        <v>4775125.71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34704.28</v>
      </c>
      <c r="G244" s="18">
        <v>12174.88</v>
      </c>
      <c r="H244" s="18">
        <v>1809718.72</v>
      </c>
      <c r="I244" s="18">
        <v>468.81</v>
      </c>
      <c r="J244" s="18">
        <v>0</v>
      </c>
      <c r="K244" s="18">
        <v>0</v>
      </c>
      <c r="L244" s="19">
        <f t="shared" si="4"/>
        <v>1857066.69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79902.81</v>
      </c>
      <c r="G245" s="18">
        <v>32893.97</v>
      </c>
      <c r="H245" s="18">
        <v>62234.74</v>
      </c>
      <c r="I245" s="18">
        <v>0</v>
      </c>
      <c r="J245" s="18">
        <v>0</v>
      </c>
      <c r="K245" s="18">
        <v>0</v>
      </c>
      <c r="L245" s="19">
        <f>SUM(F245:K245)</f>
        <v>175031.52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25004715.34</v>
      </c>
      <c r="G247" s="41">
        <f t="shared" si="5"/>
        <v>10524904.530000001</v>
      </c>
      <c r="H247" s="41">
        <f t="shared" si="5"/>
        <v>8148933.7999999998</v>
      </c>
      <c r="I247" s="41">
        <f t="shared" si="5"/>
        <v>768966.89000000013</v>
      </c>
      <c r="J247" s="41">
        <f t="shared" si="5"/>
        <v>348265.42</v>
      </c>
      <c r="K247" s="41">
        <f t="shared" si="5"/>
        <v>-219193.11000000002</v>
      </c>
      <c r="L247" s="41">
        <f t="shared" si="5"/>
        <v>44576592.870000005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103221.52</v>
      </c>
      <c r="G251" s="18">
        <v>42071.23</v>
      </c>
      <c r="H251" s="18">
        <v>480</v>
      </c>
      <c r="I251" s="18">
        <v>0</v>
      </c>
      <c r="J251" s="18">
        <v>0</v>
      </c>
      <c r="K251" s="18">
        <v>0</v>
      </c>
      <c r="L251" s="19">
        <f t="shared" si="6"/>
        <v>145772.75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f>204251-135940</f>
        <v>68311</v>
      </c>
      <c r="L255" s="19">
        <f t="shared" si="6"/>
        <v>68311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103221.52</v>
      </c>
      <c r="G256" s="41">
        <f t="shared" si="7"/>
        <v>42071.23</v>
      </c>
      <c r="H256" s="41">
        <f t="shared" si="7"/>
        <v>480</v>
      </c>
      <c r="I256" s="41">
        <f t="shared" si="7"/>
        <v>0</v>
      </c>
      <c r="J256" s="41">
        <f t="shared" si="7"/>
        <v>0</v>
      </c>
      <c r="K256" s="41">
        <f t="shared" si="7"/>
        <v>68311</v>
      </c>
      <c r="L256" s="41">
        <f>SUM(F256:K256)</f>
        <v>214083.75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81866499.480000004</v>
      </c>
      <c r="G257" s="41">
        <f t="shared" si="8"/>
        <v>33925183.240000002</v>
      </c>
      <c r="H257" s="41">
        <f t="shared" si="8"/>
        <v>18833471.84</v>
      </c>
      <c r="I257" s="41">
        <f t="shared" si="8"/>
        <v>2205586.96</v>
      </c>
      <c r="J257" s="41">
        <f t="shared" si="8"/>
        <v>1086055.51</v>
      </c>
      <c r="K257" s="41">
        <f t="shared" si="8"/>
        <v>-208556.01</v>
      </c>
      <c r="L257" s="41">
        <f t="shared" si="8"/>
        <v>137708241.01999998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8907380</v>
      </c>
      <c r="L260" s="19">
        <f>SUM(F260:K260)</f>
        <v>8907380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2943213</v>
      </c>
      <c r="L261" s="19">
        <f>SUM(F261:K261)</f>
        <v>2943213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11850593</v>
      </c>
      <c r="L270" s="41">
        <f t="shared" si="9"/>
        <v>11850593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81866499.480000004</v>
      </c>
      <c r="G271" s="42">
        <f t="shared" si="11"/>
        <v>33925183.240000002</v>
      </c>
      <c r="H271" s="42">
        <f t="shared" si="11"/>
        <v>18833471.84</v>
      </c>
      <c r="I271" s="42">
        <f t="shared" si="11"/>
        <v>2205586.96</v>
      </c>
      <c r="J271" s="42">
        <f t="shared" si="11"/>
        <v>1086055.51</v>
      </c>
      <c r="K271" s="42">
        <f t="shared" si="11"/>
        <v>11642036.99</v>
      </c>
      <c r="L271" s="42">
        <f t="shared" si="11"/>
        <v>149558834.01999998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166029.64000000001</v>
      </c>
      <c r="G276" s="18">
        <v>26488.020000000004</v>
      </c>
      <c r="H276" s="18">
        <v>0</v>
      </c>
      <c r="I276" s="18">
        <v>30808.17</v>
      </c>
      <c r="J276" s="18">
        <v>30477</v>
      </c>
      <c r="K276" s="18">
        <v>0</v>
      </c>
      <c r="L276" s="19">
        <f>SUM(F276:K276)</f>
        <v>253802.83000000002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2428472.36</v>
      </c>
      <c r="G277" s="18">
        <v>601493.91000000015</v>
      </c>
      <c r="H277" s="18">
        <v>325329.87</v>
      </c>
      <c r="I277" s="18">
        <v>165732.43000000002</v>
      </c>
      <c r="J277" s="18">
        <v>493922.73</v>
      </c>
      <c r="K277" s="18">
        <v>0</v>
      </c>
      <c r="L277" s="19">
        <f>SUM(F277:K277)</f>
        <v>4014951.3000000003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418204.84</v>
      </c>
      <c r="G279" s="18">
        <v>98895.739999999991</v>
      </c>
      <c r="H279" s="18">
        <v>13815.95</v>
      </c>
      <c r="I279" s="18">
        <v>65845.649999999994</v>
      </c>
      <c r="J279" s="18">
        <v>0</v>
      </c>
      <c r="K279" s="18">
        <v>0</v>
      </c>
      <c r="L279" s="19">
        <f>SUM(F279:K279)</f>
        <v>596762.18000000005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41675.19</v>
      </c>
      <c r="G281" s="18">
        <v>17093.48</v>
      </c>
      <c r="H281" s="18">
        <v>164662.22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223430.89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551322.81000000006</v>
      </c>
      <c r="G282" s="18">
        <v>251309.80000000005</v>
      </c>
      <c r="H282" s="18">
        <v>286585.67</v>
      </c>
      <c r="I282" s="18">
        <v>37801.449999999997</v>
      </c>
      <c r="J282" s="18">
        <v>38382.129999999997</v>
      </c>
      <c r="K282" s="18">
        <v>0</v>
      </c>
      <c r="L282" s="19">
        <f t="shared" si="12"/>
        <v>1165401.8599999999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104396.54</v>
      </c>
      <c r="G284" s="18">
        <v>63210.11</v>
      </c>
      <c r="H284" s="18">
        <v>2102.4899999999998</v>
      </c>
      <c r="I284" s="18">
        <v>0</v>
      </c>
      <c r="J284" s="18">
        <v>0</v>
      </c>
      <c r="K284" s="18">
        <v>0</v>
      </c>
      <c r="L284" s="19">
        <f t="shared" si="12"/>
        <v>169709.13999999998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171275.42</v>
      </c>
      <c r="L285" s="19">
        <f t="shared" si="12"/>
        <v>171275.42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48281.4</v>
      </c>
      <c r="G286" s="18">
        <v>0</v>
      </c>
      <c r="H286" s="18">
        <v>11845.9</v>
      </c>
      <c r="I286" s="18">
        <v>0</v>
      </c>
      <c r="J286" s="18">
        <v>0</v>
      </c>
      <c r="K286" s="18">
        <v>25997.68</v>
      </c>
      <c r="L286" s="19">
        <f t="shared" si="12"/>
        <v>86124.98000000001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126012.08</v>
      </c>
      <c r="I287" s="18">
        <v>0</v>
      </c>
      <c r="J287" s="18">
        <v>0</v>
      </c>
      <c r="K287" s="18">
        <v>0</v>
      </c>
      <c r="L287" s="19">
        <f t="shared" si="12"/>
        <v>126012.08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255.66</v>
      </c>
      <c r="J288" s="18">
        <v>0</v>
      </c>
      <c r="K288" s="18">
        <v>0</v>
      </c>
      <c r="L288" s="19">
        <f>SUM(F288:K288)</f>
        <v>255.66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3758382.78</v>
      </c>
      <c r="G290" s="42">
        <f t="shared" si="13"/>
        <v>1058491.0600000003</v>
      </c>
      <c r="H290" s="42">
        <f t="shared" si="13"/>
        <v>930354.17999999993</v>
      </c>
      <c r="I290" s="42">
        <f t="shared" si="13"/>
        <v>300443.36</v>
      </c>
      <c r="J290" s="42">
        <f t="shared" si="13"/>
        <v>562781.86</v>
      </c>
      <c r="K290" s="42">
        <f t="shared" si="13"/>
        <v>197273.1</v>
      </c>
      <c r="L290" s="41">
        <f t="shared" si="13"/>
        <v>6807726.3399999989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296960.69000000006</v>
      </c>
      <c r="G296" s="18">
        <v>145084.71</v>
      </c>
      <c r="H296" s="18">
        <v>94711.07</v>
      </c>
      <c r="I296" s="18">
        <v>269.57</v>
      </c>
      <c r="J296" s="18">
        <v>8756.7999999999993</v>
      </c>
      <c r="K296" s="18">
        <v>0</v>
      </c>
      <c r="L296" s="19">
        <f>SUM(F296:K296)</f>
        <v>545782.84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18535.3</v>
      </c>
      <c r="G300" s="18">
        <v>7604.7400000000007</v>
      </c>
      <c r="H300" s="18">
        <v>73234.539999999994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99374.579999999987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125395.93</v>
      </c>
      <c r="G301" s="18">
        <v>46755.4</v>
      </c>
      <c r="H301" s="18">
        <v>95588.07</v>
      </c>
      <c r="I301" s="18">
        <v>16501.849999999999</v>
      </c>
      <c r="J301" s="18">
        <v>10883.96</v>
      </c>
      <c r="K301" s="18">
        <v>0</v>
      </c>
      <c r="L301" s="19">
        <f t="shared" si="14"/>
        <v>295125.21000000002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36890.089999999997</v>
      </c>
      <c r="L304" s="19">
        <f t="shared" si="14"/>
        <v>36890.089999999997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23091.1</v>
      </c>
      <c r="G305" s="18">
        <v>0</v>
      </c>
      <c r="H305" s="18">
        <v>5665.43</v>
      </c>
      <c r="I305" s="18">
        <v>0</v>
      </c>
      <c r="J305" s="18">
        <v>0</v>
      </c>
      <c r="K305" s="18">
        <v>12433.67</v>
      </c>
      <c r="L305" s="19">
        <f t="shared" si="14"/>
        <v>41190.199999999997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44637.94</v>
      </c>
      <c r="I306" s="18">
        <v>0</v>
      </c>
      <c r="J306" s="18">
        <v>0</v>
      </c>
      <c r="K306" s="18">
        <v>0</v>
      </c>
      <c r="L306" s="19">
        <f t="shared" si="14"/>
        <v>44637.94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463983.02</v>
      </c>
      <c r="G309" s="42">
        <f t="shared" si="15"/>
        <v>199444.84999999998</v>
      </c>
      <c r="H309" s="42">
        <f t="shared" si="15"/>
        <v>313837.05</v>
      </c>
      <c r="I309" s="42">
        <f t="shared" si="15"/>
        <v>16771.419999999998</v>
      </c>
      <c r="J309" s="42">
        <f t="shared" si="15"/>
        <v>19640.759999999998</v>
      </c>
      <c r="K309" s="42">
        <f t="shared" si="15"/>
        <v>49323.759999999995</v>
      </c>
      <c r="L309" s="41">
        <f t="shared" si="15"/>
        <v>1063000.8599999999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2550</v>
      </c>
      <c r="G314" s="18">
        <v>0</v>
      </c>
      <c r="H314" s="18">
        <v>2090.5500000000002</v>
      </c>
      <c r="I314" s="18">
        <v>175.92</v>
      </c>
      <c r="J314" s="18">
        <v>0</v>
      </c>
      <c r="K314" s="18">
        <v>0</v>
      </c>
      <c r="L314" s="19">
        <f>SUM(F314:K314)</f>
        <v>4816.47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535049.06999999995</v>
      </c>
      <c r="G315" s="18">
        <v>219629.40000000002</v>
      </c>
      <c r="H315" s="18">
        <v>361039.85</v>
      </c>
      <c r="I315" s="18">
        <v>1027.58</v>
      </c>
      <c r="J315" s="18">
        <v>33381.040000000001</v>
      </c>
      <c r="K315" s="18">
        <v>0</v>
      </c>
      <c r="L315" s="19">
        <f>SUM(F315:K315)</f>
        <v>1150126.94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81740.199999999983</v>
      </c>
      <c r="G316" s="18">
        <v>17334.04</v>
      </c>
      <c r="H316" s="18">
        <v>5947.02</v>
      </c>
      <c r="I316" s="18">
        <v>11577.88</v>
      </c>
      <c r="J316" s="18">
        <v>113164.73</v>
      </c>
      <c r="K316" s="18">
        <v>0</v>
      </c>
      <c r="L316" s="19">
        <f>SUM(F316:K316)</f>
        <v>229763.87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127180.50000000001</v>
      </c>
      <c r="G317" s="18">
        <v>4371.76</v>
      </c>
      <c r="H317" s="18">
        <v>5538.9</v>
      </c>
      <c r="I317" s="18">
        <v>91707.829999999987</v>
      </c>
      <c r="J317" s="18">
        <v>2480.92</v>
      </c>
      <c r="K317" s="18">
        <v>208256.76</v>
      </c>
      <c r="L317" s="19">
        <f>SUM(F317:K317)</f>
        <v>439536.67000000004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61110.43</v>
      </c>
      <c r="G319" s="18">
        <v>31257.64</v>
      </c>
      <c r="H319" s="18">
        <v>160072.95999999999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252441.03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273232.8</v>
      </c>
      <c r="G320" s="18">
        <v>85953.78</v>
      </c>
      <c r="H320" s="18">
        <v>269883.15000000002</v>
      </c>
      <c r="I320" s="18">
        <v>60235.47</v>
      </c>
      <c r="J320" s="18">
        <v>21449.43</v>
      </c>
      <c r="K320" s="18">
        <v>0</v>
      </c>
      <c r="L320" s="19">
        <f t="shared" si="16"/>
        <v>710754.63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65795.13</v>
      </c>
      <c r="L323" s="19">
        <f t="shared" si="16"/>
        <v>65795.13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33587.06</v>
      </c>
      <c r="G324" s="18">
        <v>0</v>
      </c>
      <c r="H324" s="18">
        <v>8240.6299999999992</v>
      </c>
      <c r="I324" s="18">
        <v>0</v>
      </c>
      <c r="J324" s="18">
        <v>0</v>
      </c>
      <c r="K324" s="18">
        <v>18085.34</v>
      </c>
      <c r="L324" s="19">
        <f t="shared" si="16"/>
        <v>59913.03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68840.790000000008</v>
      </c>
      <c r="I325" s="18">
        <v>0</v>
      </c>
      <c r="J325" s="18">
        <v>0</v>
      </c>
      <c r="K325" s="18">
        <v>0</v>
      </c>
      <c r="L325" s="19">
        <f t="shared" si="16"/>
        <v>68840.790000000008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1114450.06</v>
      </c>
      <c r="G328" s="42">
        <f t="shared" si="17"/>
        <v>358546.62</v>
      </c>
      <c r="H328" s="42">
        <f t="shared" si="17"/>
        <v>881653.85000000009</v>
      </c>
      <c r="I328" s="42">
        <f t="shared" si="17"/>
        <v>164724.68</v>
      </c>
      <c r="J328" s="42">
        <f t="shared" si="17"/>
        <v>170476.12</v>
      </c>
      <c r="K328" s="42">
        <f t="shared" si="17"/>
        <v>292137.23000000004</v>
      </c>
      <c r="L328" s="41">
        <f t="shared" si="17"/>
        <v>2981988.5599999996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9665.81</v>
      </c>
      <c r="I332" s="18">
        <v>350.71</v>
      </c>
      <c r="J332" s="18">
        <v>0</v>
      </c>
      <c r="K332" s="18">
        <v>0</v>
      </c>
      <c r="L332" s="19">
        <f t="shared" ref="L332:L337" si="18">SUM(F332:K332)</f>
        <v>10016.519999999999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143687.52000000002</v>
      </c>
      <c r="G333" s="18">
        <v>11151.96</v>
      </c>
      <c r="H333" s="18">
        <v>13604.29</v>
      </c>
      <c r="I333" s="18">
        <v>13276.41</v>
      </c>
      <c r="J333" s="18">
        <v>12680.3</v>
      </c>
      <c r="K333" s="18">
        <v>0</v>
      </c>
      <c r="L333" s="19">
        <f t="shared" si="18"/>
        <v>194400.48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143687.52000000002</v>
      </c>
      <c r="G337" s="41">
        <f t="shared" si="19"/>
        <v>11151.96</v>
      </c>
      <c r="H337" s="41">
        <f t="shared" si="19"/>
        <v>23270.1</v>
      </c>
      <c r="I337" s="41">
        <f t="shared" si="19"/>
        <v>13627.119999999999</v>
      </c>
      <c r="J337" s="41">
        <f t="shared" si="19"/>
        <v>12680.3</v>
      </c>
      <c r="K337" s="41">
        <f t="shared" si="19"/>
        <v>0</v>
      </c>
      <c r="L337" s="41">
        <f t="shared" si="18"/>
        <v>204417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5480503.379999999</v>
      </c>
      <c r="G338" s="41">
        <f t="shared" si="20"/>
        <v>1627634.4900000002</v>
      </c>
      <c r="H338" s="41">
        <f t="shared" si="20"/>
        <v>2149115.1800000002</v>
      </c>
      <c r="I338" s="41">
        <f t="shared" si="20"/>
        <v>495566.57999999996</v>
      </c>
      <c r="J338" s="41">
        <f t="shared" si="20"/>
        <v>765579.04</v>
      </c>
      <c r="K338" s="41">
        <f t="shared" si="20"/>
        <v>538734.09000000008</v>
      </c>
      <c r="L338" s="41">
        <f t="shared" si="20"/>
        <v>11057132.759999998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5480503.379999999</v>
      </c>
      <c r="G352" s="41">
        <f>G338</f>
        <v>1627634.4900000002</v>
      </c>
      <c r="H352" s="41">
        <f>H338</f>
        <v>2149115.1800000002</v>
      </c>
      <c r="I352" s="41">
        <f>I338</f>
        <v>495566.57999999996</v>
      </c>
      <c r="J352" s="41">
        <f>J338</f>
        <v>765579.04</v>
      </c>
      <c r="K352" s="47">
        <f>K338+K351</f>
        <v>538734.09000000008</v>
      </c>
      <c r="L352" s="41">
        <f>L338+L351</f>
        <v>11057132.759999998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788309.2</v>
      </c>
      <c r="G358" s="18">
        <v>278004.84999999998</v>
      </c>
      <c r="H358" s="18">
        <v>33105.79</v>
      </c>
      <c r="I358" s="18">
        <v>1016017.1700000003</v>
      </c>
      <c r="J358" s="18">
        <v>10529.75</v>
      </c>
      <c r="K358" s="18">
        <v>0</v>
      </c>
      <c r="L358" s="13">
        <f>SUM(F358:K358)</f>
        <v>2125966.7600000002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454110.67000000004</v>
      </c>
      <c r="G359" s="18">
        <v>137441.4</v>
      </c>
      <c r="H359" s="18">
        <v>14192.84</v>
      </c>
      <c r="I359" s="18">
        <v>555958.91999999993</v>
      </c>
      <c r="J359" s="18">
        <v>3509.4500000000003</v>
      </c>
      <c r="K359" s="18">
        <v>0</v>
      </c>
      <c r="L359" s="19">
        <f>SUM(F359:K359)</f>
        <v>1165213.28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611807.87</v>
      </c>
      <c r="G360" s="18">
        <v>196981.19</v>
      </c>
      <c r="H360" s="18">
        <v>22582.21</v>
      </c>
      <c r="I360" s="18">
        <v>796956.79</v>
      </c>
      <c r="J360" s="18">
        <v>8470.74</v>
      </c>
      <c r="K360" s="18">
        <v>0</v>
      </c>
      <c r="L360" s="19">
        <f>SUM(F360:K360)</f>
        <v>1636798.8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1854227.7400000002</v>
      </c>
      <c r="G362" s="47">
        <f t="shared" si="22"/>
        <v>612427.43999999994</v>
      </c>
      <c r="H362" s="47">
        <f t="shared" si="22"/>
        <v>69880.84</v>
      </c>
      <c r="I362" s="47">
        <f t="shared" si="22"/>
        <v>2368932.8800000004</v>
      </c>
      <c r="J362" s="47">
        <f t="shared" si="22"/>
        <v>22509.940000000002</v>
      </c>
      <c r="K362" s="47">
        <f t="shared" si="22"/>
        <v>0</v>
      </c>
      <c r="L362" s="47">
        <f t="shared" si="22"/>
        <v>4927978.84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902473.18</v>
      </c>
      <c r="G367" s="18">
        <v>496637.52999999997</v>
      </c>
      <c r="H367" s="18">
        <v>714070.24</v>
      </c>
      <c r="I367" s="56">
        <f>SUM(F367:H367)</f>
        <v>2113180.9500000002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113543.98999999999</v>
      </c>
      <c r="G368" s="63">
        <v>59321.39</v>
      </c>
      <c r="H368" s="63">
        <v>82886.55</v>
      </c>
      <c r="I368" s="56">
        <f>SUM(F368:H368)</f>
        <v>255751.93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1016017.17</v>
      </c>
      <c r="G369" s="47">
        <f>SUM(G367:G368)</f>
        <v>555958.91999999993</v>
      </c>
      <c r="H369" s="47">
        <f>SUM(H367:H368)</f>
        <v>796956.79</v>
      </c>
      <c r="I369" s="47">
        <f>SUM(I367:I368)</f>
        <v>2368932.8800000004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>
        <v>9974090.1099999994</v>
      </c>
      <c r="L379" s="13">
        <f t="shared" si="23"/>
        <v>9974090.1099999994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9974090.1099999994</v>
      </c>
      <c r="L382" s="47">
        <f t="shared" si="24"/>
        <v>9974090.1099999994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f>4144.96</f>
        <v>4144.96</v>
      </c>
      <c r="I392" s="18"/>
      <c r="J392" s="24" t="s">
        <v>289</v>
      </c>
      <c r="K392" s="24" t="s">
        <v>289</v>
      </c>
      <c r="L392" s="56">
        <f t="shared" si="25"/>
        <v>4144.96</v>
      </c>
      <c r="M392" s="8"/>
      <c r="N392" s="269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4144.96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4144.96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2285.1</v>
      </c>
      <c r="I400" s="18">
        <v>288936.84999999998</v>
      </c>
      <c r="J400" s="24" t="s">
        <v>289</v>
      </c>
      <c r="K400" s="24" t="s">
        <v>289</v>
      </c>
      <c r="L400" s="56">
        <f t="shared" si="26"/>
        <v>291221.94999999995</v>
      </c>
      <c r="M400" s="8"/>
      <c r="N400" s="269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2285.1</v>
      </c>
      <c r="I401" s="47">
        <f>SUM(I395:I400)</f>
        <v>288936.84999999998</v>
      </c>
      <c r="J401" s="45" t="s">
        <v>289</v>
      </c>
      <c r="K401" s="45" t="s">
        <v>289</v>
      </c>
      <c r="L401" s="47">
        <f>SUM(L395:L400)</f>
        <v>291221.94999999995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 t="s">
        <v>914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181587.84</v>
      </c>
      <c r="I403" s="18">
        <v>26997.919999999998</v>
      </c>
      <c r="J403" s="24" t="s">
        <v>289</v>
      </c>
      <c r="K403" s="24" t="s">
        <v>289</v>
      </c>
      <c r="L403" s="56">
        <f>SUM(F403:K403)</f>
        <v>208585.76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181587.84</v>
      </c>
      <c r="I407" s="47">
        <f>SUM(I403:I406)</f>
        <v>26997.919999999998</v>
      </c>
      <c r="J407" s="49" t="s">
        <v>289</v>
      </c>
      <c r="K407" s="49" t="s">
        <v>289</v>
      </c>
      <c r="L407" s="47">
        <f>SUM(L403:L406)</f>
        <v>208585.76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188017.9</v>
      </c>
      <c r="I408" s="47">
        <f>I393+I401+I407</f>
        <v>315934.76999999996</v>
      </c>
      <c r="J408" s="24" t="s">
        <v>289</v>
      </c>
      <c r="K408" s="24" t="s">
        <v>289</v>
      </c>
      <c r="L408" s="47">
        <f>L393+L401+L407</f>
        <v>503952.67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>
        <v>99279.45</v>
      </c>
      <c r="K418" s="18">
        <v>124061.85</v>
      </c>
      <c r="L418" s="56">
        <f t="shared" si="27"/>
        <v>223341.3</v>
      </c>
      <c r="M418" s="8"/>
      <c r="N418" s="269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99279.45</v>
      </c>
      <c r="K419" s="139">
        <f t="shared" si="28"/>
        <v>124061.85</v>
      </c>
      <c r="L419" s="47">
        <f t="shared" si="28"/>
        <v>223341.3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25</v>
      </c>
      <c r="G426" s="18"/>
      <c r="H426" s="18">
        <v>10841.17</v>
      </c>
      <c r="I426" s="18">
        <v>18603.22</v>
      </c>
      <c r="J426" s="18">
        <v>107224.85</v>
      </c>
      <c r="K426" s="18">
        <v>200000</v>
      </c>
      <c r="L426" s="56">
        <f t="shared" si="29"/>
        <v>336694.24</v>
      </c>
      <c r="M426" s="8"/>
      <c r="N426" s="269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25</v>
      </c>
      <c r="G427" s="47">
        <f t="shared" si="30"/>
        <v>0</v>
      </c>
      <c r="H427" s="47">
        <f t="shared" si="30"/>
        <v>10841.17</v>
      </c>
      <c r="I427" s="47">
        <f t="shared" si="30"/>
        <v>18603.22</v>
      </c>
      <c r="J427" s="47">
        <f t="shared" si="30"/>
        <v>107224.85</v>
      </c>
      <c r="K427" s="47">
        <f t="shared" si="30"/>
        <v>200000</v>
      </c>
      <c r="L427" s="47">
        <f t="shared" si="30"/>
        <v>336694.24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914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165265.60999999999</v>
      </c>
      <c r="I429" s="18"/>
      <c r="J429" s="18"/>
      <c r="K429" s="18"/>
      <c r="L429" s="56">
        <f>SUM(F429:K429)</f>
        <v>165265.60999999999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165265.60999999999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165265.60999999999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25</v>
      </c>
      <c r="G434" s="47">
        <f t="shared" si="32"/>
        <v>0</v>
      </c>
      <c r="H434" s="47">
        <f t="shared" si="32"/>
        <v>176106.78</v>
      </c>
      <c r="I434" s="47">
        <f t="shared" si="32"/>
        <v>18603.22</v>
      </c>
      <c r="J434" s="47">
        <f t="shared" si="32"/>
        <v>206504.3</v>
      </c>
      <c r="K434" s="47">
        <f t="shared" si="32"/>
        <v>324061.84999999998</v>
      </c>
      <c r="L434" s="47">
        <f t="shared" si="32"/>
        <v>725301.15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31015.67+1934110.45+262430.6</f>
        <v>2227556.7199999997</v>
      </c>
      <c r="G439" s="18">
        <f>190912.26+956061.67</f>
        <v>1146973.9300000002</v>
      </c>
      <c r="H439" s="18">
        <v>71375.179999999993</v>
      </c>
      <c r="I439" s="56">
        <f t="shared" ref="I439:I445" si="33">SUM(F439:H439)</f>
        <v>3445905.83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f>439219.79+3092537.63+2006152.42</f>
        <v>5537909.8399999999</v>
      </c>
      <c r="I440" s="56">
        <f t="shared" si="33"/>
        <v>5537909.8399999999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22601.51</v>
      </c>
      <c r="H441" s="18"/>
      <c r="I441" s="56">
        <f t="shared" si="33"/>
        <v>22601.51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2227556.7199999997</v>
      </c>
      <c r="G446" s="13">
        <f>SUM(G439:G445)</f>
        <v>1169575.4400000002</v>
      </c>
      <c r="H446" s="13">
        <f>SUM(H439:H445)</f>
        <v>5609285.0199999996</v>
      </c>
      <c r="I446" s="13">
        <f>SUM(I439:I445)</f>
        <v>9006417.1799999997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f>124061.85+2456.64</f>
        <v>126518.49</v>
      </c>
      <c r="G448" s="18"/>
      <c r="H448" s="18">
        <v>114287</v>
      </c>
      <c r="I448" s="56">
        <f>SUM(F448:H448)</f>
        <v>240805.49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126518.49</v>
      </c>
      <c r="G452" s="72">
        <f>SUM(G448:G451)</f>
        <v>0</v>
      </c>
      <c r="H452" s="72">
        <f>SUM(H448:H451)</f>
        <v>114287</v>
      </c>
      <c r="I452" s="72">
        <f>SUM(I448:I451)</f>
        <v>240805.49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64481</v>
      </c>
      <c r="G454" s="18">
        <v>6943.9</v>
      </c>
      <c r="H454" s="18"/>
      <c r="I454" s="56">
        <f t="shared" ref="I454:I459" si="34">SUM(F454:H454)</f>
        <v>71424.899999999994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5036348.5999999996</v>
      </c>
      <c r="I457" s="56">
        <f t="shared" si="34"/>
        <v>5036348.5999999996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458649.42</v>
      </c>
      <c r="I458" s="56">
        <f t="shared" si="34"/>
        <v>458649.42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2036557.23</v>
      </c>
      <c r="G459" s="18">
        <f>1208103.83-45472.29</f>
        <v>1162631.54</v>
      </c>
      <c r="H459" s="18"/>
      <c r="I459" s="56">
        <f t="shared" si="34"/>
        <v>3199188.77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2101038.23</v>
      </c>
      <c r="G460" s="83">
        <f>SUM(G454:G459)</f>
        <v>1169575.44</v>
      </c>
      <c r="H460" s="83">
        <f>SUM(H454:H459)</f>
        <v>5494998.0199999996</v>
      </c>
      <c r="I460" s="83">
        <f>SUM(I454:I459)</f>
        <v>8765611.6899999995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2227556.7200000002</v>
      </c>
      <c r="G461" s="42">
        <f>G452+G460</f>
        <v>1169575.44</v>
      </c>
      <c r="H461" s="42">
        <f>H452+H460</f>
        <v>5609285.0199999996</v>
      </c>
      <c r="I461" s="42">
        <f>I452+I460</f>
        <v>9006417.1799999997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0</v>
      </c>
      <c r="G465" s="18">
        <v>549743.86000000034</v>
      </c>
      <c r="H465" s="18">
        <v>1027109.2300000004</v>
      </c>
      <c r="I465" s="18">
        <v>826725.15000000037</v>
      </c>
      <c r="J465" s="18">
        <v>8986960.1699999981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149694774.02-135940</f>
        <v>149558834.02000001</v>
      </c>
      <c r="G468" s="18">
        <v>4883230.24</v>
      </c>
      <c r="H468" s="18">
        <v>10846197.98</v>
      </c>
      <c r="I468" s="18">
        <v>11994061.85</v>
      </c>
      <c r="J468" s="18">
        <v>503952.67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149558834.02000001</v>
      </c>
      <c r="G470" s="53">
        <f>SUM(G468:G469)</f>
        <v>4883230.24</v>
      </c>
      <c r="H470" s="53">
        <f>SUM(H468:H469)</f>
        <v>10846197.98</v>
      </c>
      <c r="I470" s="53">
        <f>SUM(I468:I469)</f>
        <v>11994061.85</v>
      </c>
      <c r="J470" s="53">
        <f>SUM(J468:J469)</f>
        <v>503952.67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F468</f>
        <v>149558834.02000001</v>
      </c>
      <c r="G472" s="18">
        <v>4927978.84</v>
      </c>
      <c r="H472" s="18">
        <v>11057132.760000004</v>
      </c>
      <c r="I472" s="18">
        <v>9974090.1099999994</v>
      </c>
      <c r="J472" s="18">
        <v>725301.15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149558834.02000001</v>
      </c>
      <c r="G474" s="53">
        <f>SUM(G472:G473)</f>
        <v>4927978.84</v>
      </c>
      <c r="H474" s="53">
        <f>SUM(H472:H473)</f>
        <v>11057132.760000004</v>
      </c>
      <c r="I474" s="53">
        <f>SUM(I472:I473)</f>
        <v>9974090.1099999994</v>
      </c>
      <c r="J474" s="53">
        <f>SUM(J472:J473)</f>
        <v>725301.15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504995.26000000071</v>
      </c>
      <c r="H476" s="53">
        <f>(H465+H470)- H474</f>
        <v>816174.44999999739</v>
      </c>
      <c r="I476" s="53">
        <f>(I465+I470)- I474</f>
        <v>2846696.8900000006</v>
      </c>
      <c r="J476" s="53">
        <f>(J465+J470)- J474</f>
        <v>8765611.6899999976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913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70948145</v>
      </c>
      <c r="G495" s="18"/>
      <c r="H495" s="18"/>
      <c r="I495" s="18"/>
      <c r="J495" s="18"/>
      <c r="K495" s="53">
        <f>SUM(F495:J495)</f>
        <v>70948145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32630400</v>
      </c>
      <c r="G496" s="18"/>
      <c r="H496" s="18"/>
      <c r="I496" s="18"/>
      <c r="J496" s="18"/>
      <c r="K496" s="53">
        <f t="shared" ref="K496:K503" si="35">SUM(F496:J496)</f>
        <v>32630400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31926305</v>
      </c>
      <c r="G497" s="18"/>
      <c r="H497" s="18"/>
      <c r="I497" s="18"/>
      <c r="J497" s="18"/>
      <c r="K497" s="53">
        <f t="shared" si="35"/>
        <v>31926305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F495+F496-F497</f>
        <v>71652240</v>
      </c>
      <c r="G498" s="204"/>
      <c r="H498" s="204"/>
      <c r="I498" s="204"/>
      <c r="J498" s="204"/>
      <c r="K498" s="205">
        <f t="shared" si="35"/>
        <v>71652240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16481010</v>
      </c>
      <c r="G499" s="18"/>
      <c r="H499" s="18"/>
      <c r="I499" s="18"/>
      <c r="J499" s="18"/>
      <c r="K499" s="53">
        <f t="shared" si="35"/>
        <v>16481010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88133250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88133250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8329240</v>
      </c>
      <c r="G501" s="204"/>
      <c r="H501" s="204"/>
      <c r="I501" s="204"/>
      <c r="J501" s="204"/>
      <c r="K501" s="205">
        <f t="shared" si="35"/>
        <v>8329240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2597765</v>
      </c>
      <c r="G502" s="18"/>
      <c r="H502" s="18"/>
      <c r="I502" s="18"/>
      <c r="J502" s="18"/>
      <c r="K502" s="53">
        <f t="shared" si="35"/>
        <v>2597765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10927005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10927005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13036844.92</v>
      </c>
      <c r="G507" s="144"/>
      <c r="H507" s="144">
        <v>1751180.7</v>
      </c>
      <c r="I507" s="144">
        <v>11285664.220000001</v>
      </c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8144175.2000000002</v>
      </c>
      <c r="G521" s="18">
        <v>2909827.0500000003</v>
      </c>
      <c r="H521" s="18">
        <v>2355702.7199999997</v>
      </c>
      <c r="I521" s="18">
        <v>71419.989999999991</v>
      </c>
      <c r="J521" s="18">
        <v>28307.11</v>
      </c>
      <c r="K521" s="18">
        <v>0</v>
      </c>
      <c r="L521" s="88">
        <f>SUM(F521:K521)</f>
        <v>13509432.069999998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2979009.4200000004</v>
      </c>
      <c r="G522" s="18">
        <v>1127930.2199999997</v>
      </c>
      <c r="H522" s="18">
        <v>1047539.8200000001</v>
      </c>
      <c r="I522" s="18">
        <v>27933.270000000004</v>
      </c>
      <c r="J522" s="18">
        <v>13783.76</v>
      </c>
      <c r="K522" s="18">
        <v>0</v>
      </c>
      <c r="L522" s="88">
        <f>SUM(F522:K522)</f>
        <v>5196196.4899999993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3028563.0799999996</v>
      </c>
      <c r="G523" s="18">
        <v>1167437.6099999999</v>
      </c>
      <c r="H523" s="18">
        <v>1679824.8900000001</v>
      </c>
      <c r="I523" s="18">
        <v>40482.47</v>
      </c>
      <c r="J523" s="18">
        <v>20188.82</v>
      </c>
      <c r="K523" s="18">
        <v>0</v>
      </c>
      <c r="L523" s="88">
        <f>SUM(F523:K523)</f>
        <v>5936496.8700000001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14151747.700000001</v>
      </c>
      <c r="G524" s="108">
        <f t="shared" ref="G524:L524" si="36">SUM(G521:G523)</f>
        <v>5205194.88</v>
      </c>
      <c r="H524" s="108">
        <f t="shared" si="36"/>
        <v>5083067.43</v>
      </c>
      <c r="I524" s="108">
        <f t="shared" si="36"/>
        <v>139835.72999999998</v>
      </c>
      <c r="J524" s="108">
        <f t="shared" si="36"/>
        <v>62279.69</v>
      </c>
      <c r="K524" s="108">
        <f t="shared" si="36"/>
        <v>0</v>
      </c>
      <c r="L524" s="89">
        <f t="shared" si="36"/>
        <v>24642125.43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1648496.41</v>
      </c>
      <c r="G526" s="18">
        <v>684027.77</v>
      </c>
      <c r="H526" s="18">
        <v>725544.85</v>
      </c>
      <c r="I526" s="18">
        <v>11914.5</v>
      </c>
      <c r="J526" s="18">
        <v>2197.27</v>
      </c>
      <c r="K526" s="18">
        <v>0</v>
      </c>
      <c r="L526" s="88">
        <f>SUM(F526:K526)</f>
        <v>3072180.8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690346.02</v>
      </c>
      <c r="G527" s="18">
        <v>278573.06999999995</v>
      </c>
      <c r="H527" s="18">
        <v>343693.72</v>
      </c>
      <c r="I527" s="18">
        <v>4608.42</v>
      </c>
      <c r="J527" s="18">
        <v>977.25</v>
      </c>
      <c r="K527" s="18">
        <v>0</v>
      </c>
      <c r="L527" s="88">
        <f>SUM(F527:K527)</f>
        <v>1318198.48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1090178.43</v>
      </c>
      <c r="G528" s="18">
        <v>435986.74000000005</v>
      </c>
      <c r="H528" s="18">
        <v>552961.54</v>
      </c>
      <c r="I528" s="18">
        <v>7390.0300000000007</v>
      </c>
      <c r="J528" s="18">
        <v>1567.11</v>
      </c>
      <c r="K528" s="18">
        <v>0</v>
      </c>
      <c r="L528" s="88">
        <f>SUM(F528:K528)</f>
        <v>2088083.85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3429020.8599999994</v>
      </c>
      <c r="G529" s="89">
        <f t="shared" ref="G529:L529" si="37">SUM(G526:G528)</f>
        <v>1398587.58</v>
      </c>
      <c r="H529" s="89">
        <f t="shared" si="37"/>
        <v>1622200.1099999999</v>
      </c>
      <c r="I529" s="89">
        <f t="shared" si="37"/>
        <v>23912.949999999997</v>
      </c>
      <c r="J529" s="89">
        <f t="shared" si="37"/>
        <v>4741.63</v>
      </c>
      <c r="K529" s="89">
        <f t="shared" si="37"/>
        <v>0</v>
      </c>
      <c r="L529" s="89">
        <f t="shared" si="37"/>
        <v>6478463.129999999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116988.82</v>
      </c>
      <c r="G531" s="18">
        <v>48161.34</v>
      </c>
      <c r="H531" s="18">
        <v>13023.05</v>
      </c>
      <c r="I531" s="18">
        <v>0</v>
      </c>
      <c r="J531" s="18">
        <v>0</v>
      </c>
      <c r="K531" s="18">
        <v>0</v>
      </c>
      <c r="L531" s="88">
        <f>SUM(F531:K531)</f>
        <v>178173.21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52031.5</v>
      </c>
      <c r="G532" s="18">
        <v>21420.05</v>
      </c>
      <c r="H532" s="18">
        <v>5792.08</v>
      </c>
      <c r="I532" s="18">
        <v>0</v>
      </c>
      <c r="J532" s="18">
        <v>0</v>
      </c>
      <c r="K532" s="18">
        <v>0</v>
      </c>
      <c r="L532" s="88">
        <f>SUM(F532:K532)</f>
        <v>79243.63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83437.22</v>
      </c>
      <c r="G533" s="18">
        <v>34348.99</v>
      </c>
      <c r="H533" s="18">
        <v>9288.1200000000008</v>
      </c>
      <c r="I533" s="18">
        <v>0</v>
      </c>
      <c r="J533" s="18">
        <v>0</v>
      </c>
      <c r="K533" s="18">
        <v>0</v>
      </c>
      <c r="L533" s="88">
        <f>SUM(F533:K533)</f>
        <v>127074.32999999999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252457.54</v>
      </c>
      <c r="G534" s="89">
        <f t="shared" ref="G534:L534" si="38">SUM(G531:G533)</f>
        <v>103930.38</v>
      </c>
      <c r="H534" s="89">
        <f t="shared" si="38"/>
        <v>28103.25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384491.17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1891533.08</v>
      </c>
      <c r="I541" s="18"/>
      <c r="J541" s="18"/>
      <c r="K541" s="18"/>
      <c r="L541" s="88">
        <f>SUM(F541:K541)</f>
        <v>1891533.08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669941.24000000011</v>
      </c>
      <c r="I542" s="18"/>
      <c r="J542" s="18"/>
      <c r="K542" s="18"/>
      <c r="L542" s="88">
        <f>SUM(F542:K542)</f>
        <v>669941.24000000011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907353.63</v>
      </c>
      <c r="I543" s="18"/>
      <c r="J543" s="18"/>
      <c r="K543" s="18"/>
      <c r="L543" s="88">
        <f>SUM(F543:K543)</f>
        <v>907353.63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3468827.95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3468827.95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17833226.100000001</v>
      </c>
      <c r="G545" s="89">
        <f t="shared" ref="G545:L545" si="41">G524+G529+G534+G539+G544</f>
        <v>6707712.8399999999</v>
      </c>
      <c r="H545" s="89">
        <f t="shared" si="41"/>
        <v>10202198.739999998</v>
      </c>
      <c r="I545" s="89">
        <f t="shared" si="41"/>
        <v>163748.68</v>
      </c>
      <c r="J545" s="89">
        <f t="shared" si="41"/>
        <v>67021.320000000007</v>
      </c>
      <c r="K545" s="89">
        <f t="shared" si="41"/>
        <v>0</v>
      </c>
      <c r="L545" s="89">
        <f t="shared" si="41"/>
        <v>34973907.68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13509432.069999998</v>
      </c>
      <c r="G549" s="87">
        <f>L526</f>
        <v>3072180.8</v>
      </c>
      <c r="H549" s="87">
        <f>L531</f>
        <v>178173.21</v>
      </c>
      <c r="I549" s="87">
        <f>L536</f>
        <v>0</v>
      </c>
      <c r="J549" s="87">
        <f>L541</f>
        <v>1891533.08</v>
      </c>
      <c r="K549" s="87">
        <f>SUM(F549:J549)</f>
        <v>18651319.159999996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5196196.4899999993</v>
      </c>
      <c r="G550" s="87">
        <f>L527</f>
        <v>1318198.48</v>
      </c>
      <c r="H550" s="87">
        <f>L532</f>
        <v>79243.63</v>
      </c>
      <c r="I550" s="87">
        <f>L537</f>
        <v>0</v>
      </c>
      <c r="J550" s="87">
        <f>L542</f>
        <v>669941.24000000011</v>
      </c>
      <c r="K550" s="87">
        <f>SUM(F550:J550)</f>
        <v>7263579.8399999989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5936496.8700000001</v>
      </c>
      <c r="G551" s="87">
        <f>L528</f>
        <v>2088083.85</v>
      </c>
      <c r="H551" s="87">
        <f>L533</f>
        <v>127074.32999999999</v>
      </c>
      <c r="I551" s="87">
        <f>L538</f>
        <v>0</v>
      </c>
      <c r="J551" s="87">
        <f>L543</f>
        <v>907353.63</v>
      </c>
      <c r="K551" s="87">
        <f>SUM(F551:J551)</f>
        <v>9059008.6800000016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24642125.43</v>
      </c>
      <c r="G552" s="89">
        <f t="shared" si="42"/>
        <v>6478463.129999999</v>
      </c>
      <c r="H552" s="89">
        <f t="shared" si="42"/>
        <v>384491.17</v>
      </c>
      <c r="I552" s="89">
        <f t="shared" si="42"/>
        <v>0</v>
      </c>
      <c r="J552" s="89">
        <f t="shared" si="42"/>
        <v>3468827.95</v>
      </c>
      <c r="K552" s="89">
        <f t="shared" si="42"/>
        <v>34973907.68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993374.59999999986</v>
      </c>
      <c r="G562" s="18">
        <v>403360.67000000004</v>
      </c>
      <c r="H562" s="18">
        <v>7594.62</v>
      </c>
      <c r="I562" s="18">
        <v>9900.64</v>
      </c>
      <c r="J562" s="18">
        <v>32137.96</v>
      </c>
      <c r="K562" s="18">
        <v>0</v>
      </c>
      <c r="L562" s="88">
        <f>SUM(F562:K562)</f>
        <v>1446368.49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318975.24</v>
      </c>
      <c r="G563" s="18">
        <v>130311.59000000001</v>
      </c>
      <c r="H563" s="18">
        <v>1801.76</v>
      </c>
      <c r="I563" s="18">
        <v>3210.3500000000004</v>
      </c>
      <c r="J563" s="18">
        <v>7624.44</v>
      </c>
      <c r="K563" s="18">
        <v>0</v>
      </c>
      <c r="L563" s="88">
        <f>SUM(F563:K563)</f>
        <v>461923.38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377546.66</v>
      </c>
      <c r="G564" s="18">
        <v>147674.86000000002</v>
      </c>
      <c r="H564" s="18">
        <v>2349.09</v>
      </c>
      <c r="I564" s="18">
        <v>2487.19</v>
      </c>
      <c r="J564" s="18">
        <v>9940.6</v>
      </c>
      <c r="K564" s="18">
        <v>0</v>
      </c>
      <c r="L564" s="88">
        <f>SUM(F564:K564)</f>
        <v>539998.39999999991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1689896.4999999998</v>
      </c>
      <c r="G565" s="89">
        <f t="shared" si="44"/>
        <v>681347.12</v>
      </c>
      <c r="H565" s="89">
        <f t="shared" si="44"/>
        <v>11745.47</v>
      </c>
      <c r="I565" s="89">
        <f t="shared" si="44"/>
        <v>15598.18</v>
      </c>
      <c r="J565" s="89">
        <f t="shared" si="44"/>
        <v>49703</v>
      </c>
      <c r="K565" s="89">
        <f t="shared" si="44"/>
        <v>0</v>
      </c>
      <c r="L565" s="89">
        <f t="shared" si="44"/>
        <v>2448290.27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1689896.4999999998</v>
      </c>
      <c r="G571" s="89">
        <f t="shared" ref="G571:L571" si="46">G560+G565+G570</f>
        <v>681347.12</v>
      </c>
      <c r="H571" s="89">
        <f t="shared" si="46"/>
        <v>11745.47</v>
      </c>
      <c r="I571" s="89">
        <f t="shared" si="46"/>
        <v>15598.18</v>
      </c>
      <c r="J571" s="89">
        <f t="shared" si="46"/>
        <v>49703</v>
      </c>
      <c r="K571" s="89">
        <f t="shared" si="46"/>
        <v>0</v>
      </c>
      <c r="L571" s="89">
        <f t="shared" si="46"/>
        <v>2448290.27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69420.390000000014</v>
      </c>
      <c r="G579" s="18">
        <v>0</v>
      </c>
      <c r="H579" s="18">
        <v>25404</v>
      </c>
      <c r="I579" s="87">
        <f t="shared" si="47"/>
        <v>94824.390000000014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102600.22</v>
      </c>
      <c r="I580" s="87">
        <f t="shared" si="47"/>
        <v>102600.22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467816.78</v>
      </c>
      <c r="G582" s="18">
        <v>611763.36</v>
      </c>
      <c r="H582" s="18">
        <v>3238986.6600000006</v>
      </c>
      <c r="I582" s="87">
        <f t="shared" si="47"/>
        <v>4318566.8000000007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1143110.21</v>
      </c>
      <c r="I591" s="18">
        <v>711062.98</v>
      </c>
      <c r="J591" s="18">
        <v>752052.2300000001</v>
      </c>
      <c r="K591" s="104">
        <f t="shared" ref="K591:K597" si="48">SUM(H591:J591)</f>
        <v>2606225.42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1891533.08</v>
      </c>
      <c r="I592" s="18">
        <v>669941.24000000011</v>
      </c>
      <c r="J592" s="18">
        <v>907353.63</v>
      </c>
      <c r="K592" s="104">
        <f t="shared" si="48"/>
        <v>3468827.95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25666.57</v>
      </c>
      <c r="K593" s="104">
        <f t="shared" si="48"/>
        <v>25666.57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27697.119999999995</v>
      </c>
      <c r="J594" s="18">
        <v>164870.09000000003</v>
      </c>
      <c r="K594" s="104">
        <f t="shared" si="48"/>
        <v>192567.21000000002</v>
      </c>
      <c r="L594" s="24" t="s">
        <v>289</v>
      </c>
      <c r="M594" s="8"/>
      <c r="N594" s="269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7124.17</v>
      </c>
      <c r="K595" s="104">
        <f t="shared" si="48"/>
        <v>7124.17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3034643.29</v>
      </c>
      <c r="I598" s="108">
        <f>SUM(I591:I597)</f>
        <v>1408701.3400000003</v>
      </c>
      <c r="J598" s="108">
        <f>SUM(J591:J597)</f>
        <v>1857066.6900000002</v>
      </c>
      <c r="K598" s="108">
        <f>SUM(K591:K597)</f>
        <v>6300411.3200000003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866710.8899999999</v>
      </c>
      <c r="I604" s="18">
        <v>301853.57</v>
      </c>
      <c r="J604" s="18">
        <v>683070.09000000008</v>
      </c>
      <c r="K604" s="104">
        <f>SUM(H604:J604)</f>
        <v>1851634.55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866710.8899999999</v>
      </c>
      <c r="I605" s="108">
        <f>SUM(I602:I604)</f>
        <v>301853.57</v>
      </c>
      <c r="J605" s="108">
        <f>SUM(J602:J604)</f>
        <v>683070.09000000008</v>
      </c>
      <c r="K605" s="108">
        <f>SUM(K602:K604)</f>
        <v>1851634.55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68859.69</v>
      </c>
      <c r="G611" s="18">
        <v>9102.7800000000007</v>
      </c>
      <c r="H611" s="18">
        <v>10799.27</v>
      </c>
      <c r="I611" s="18">
        <v>6405.46</v>
      </c>
      <c r="J611" s="18">
        <v>0</v>
      </c>
      <c r="K611" s="18">
        <v>0</v>
      </c>
      <c r="L611" s="88">
        <f>SUM(F611:K611)</f>
        <v>95167.200000000012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33321.01</v>
      </c>
      <c r="G612" s="18">
        <v>3382.21</v>
      </c>
      <c r="H612" s="18">
        <v>2346.15</v>
      </c>
      <c r="I612" s="18">
        <v>4249.2599999999993</v>
      </c>
      <c r="J612" s="18">
        <v>0</v>
      </c>
      <c r="K612" s="18">
        <v>0</v>
      </c>
      <c r="L612" s="88">
        <f>SUM(F612:K612)</f>
        <v>43298.630000000005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66787.7</v>
      </c>
      <c r="G613" s="18">
        <v>8828.8799999999992</v>
      </c>
      <c r="H613" s="18">
        <v>10474.32</v>
      </c>
      <c r="I613" s="18">
        <v>6212.72</v>
      </c>
      <c r="J613" s="18">
        <v>0</v>
      </c>
      <c r="K613" s="18">
        <v>0</v>
      </c>
      <c r="L613" s="88">
        <f>SUM(F613:K613)</f>
        <v>92303.62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168968.40000000002</v>
      </c>
      <c r="G614" s="108">
        <f t="shared" si="49"/>
        <v>21313.870000000003</v>
      </c>
      <c r="H614" s="108">
        <f t="shared" si="49"/>
        <v>23619.739999999998</v>
      </c>
      <c r="I614" s="108">
        <f t="shared" si="49"/>
        <v>16867.439999999999</v>
      </c>
      <c r="J614" s="108">
        <f t="shared" si="49"/>
        <v>0</v>
      </c>
      <c r="K614" s="108">
        <f t="shared" si="49"/>
        <v>0</v>
      </c>
      <c r="L614" s="89">
        <f t="shared" si="49"/>
        <v>230769.45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505806.4</v>
      </c>
      <c r="H618" s="109">
        <f>SUM(G52)</f>
        <v>505806.4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2753262.24</v>
      </c>
      <c r="H619" s="109">
        <f>SUM(H52)</f>
        <v>2753262.24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2846696.89</v>
      </c>
      <c r="H620" s="109">
        <f>SUM(I52)</f>
        <v>2846696.89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9006417.1799999997</v>
      </c>
      <c r="H621" s="109">
        <f>SUM(J52)</f>
        <v>9006417.1799999997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504995.26</v>
      </c>
      <c r="H623" s="109">
        <f>G476</f>
        <v>504995.26000000071</v>
      </c>
      <c r="I623" s="121" t="s">
        <v>102</v>
      </c>
      <c r="J623" s="109">
        <f t="shared" si="50"/>
        <v>-6.9849193096160889E-10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816174.45</v>
      </c>
      <c r="H624" s="109">
        <f>H476</f>
        <v>816174.44999999739</v>
      </c>
      <c r="I624" s="121" t="s">
        <v>103</v>
      </c>
      <c r="J624" s="109">
        <f t="shared" si="50"/>
        <v>2.5611370801925659E-9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2846696.89</v>
      </c>
      <c r="H625" s="109">
        <f>I476</f>
        <v>2846696.8900000006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8765611.6899999995</v>
      </c>
      <c r="H626" s="109">
        <f>J476</f>
        <v>8765611.6899999976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149558834.02000001</v>
      </c>
      <c r="H627" s="104">
        <f>SUM(F468)</f>
        <v>149558834.02000001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4883230.24</v>
      </c>
      <c r="H628" s="104">
        <f>SUM(G468)</f>
        <v>4883230.24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10846197.98</v>
      </c>
      <c r="H629" s="104">
        <f>SUM(H468)</f>
        <v>10846197.98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11994061.85</v>
      </c>
      <c r="H630" s="104">
        <f>SUM(I468)</f>
        <v>11994061.85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503952.66999999993</v>
      </c>
      <c r="H631" s="104">
        <f>SUM(J468)</f>
        <v>503952.67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149558834.01999998</v>
      </c>
      <c r="H632" s="104">
        <f>SUM(F472)</f>
        <v>149558834.02000001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11057132.759999998</v>
      </c>
      <c r="H633" s="104">
        <f>SUM(H472)</f>
        <v>11057132.760000004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2368932.8800000004</v>
      </c>
      <c r="H634" s="104">
        <f>I369</f>
        <v>2368932.8800000004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4927978.84</v>
      </c>
      <c r="H635" s="104">
        <f>SUM(G472)</f>
        <v>4927978.84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9974090.1099999994</v>
      </c>
      <c r="H636" s="104">
        <f>SUM(I472)</f>
        <v>9974090.1099999994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503952.67</v>
      </c>
      <c r="H637" s="164">
        <f>SUM(J468)</f>
        <v>503952.67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725301.15</v>
      </c>
      <c r="H638" s="164">
        <f>SUM(J472)</f>
        <v>725301.15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2227556.7199999997</v>
      </c>
      <c r="H639" s="104">
        <f>SUM(F461)</f>
        <v>2227556.7200000002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1169575.4400000002</v>
      </c>
      <c r="H640" s="104">
        <f>SUM(G461)</f>
        <v>1169575.44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5609285.0199999996</v>
      </c>
      <c r="H641" s="104">
        <f>SUM(H461)</f>
        <v>5609285.0199999996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9006417.1799999997</v>
      </c>
      <c r="H642" s="104">
        <f>SUM(I461)</f>
        <v>9006417.1799999997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188017.9</v>
      </c>
      <c r="H644" s="104">
        <f>H408</f>
        <v>188017.9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503952.66999999993</v>
      </c>
      <c r="H646" s="104">
        <f>L408</f>
        <v>503952.67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6300411.3200000003</v>
      </c>
      <c r="H647" s="104">
        <f>L208+L226+L244</f>
        <v>6300411.3200000003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1851634.55</v>
      </c>
      <c r="H648" s="104">
        <f>(J257+J338)-(J255+J336)</f>
        <v>1851634.55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3034643.29</v>
      </c>
      <c r="H649" s="104">
        <f>H598</f>
        <v>3034643.29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1408701.3399999999</v>
      </c>
      <c r="H650" s="104">
        <f>I598</f>
        <v>1408701.3400000003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1857066.69</v>
      </c>
      <c r="H651" s="104">
        <f>J598</f>
        <v>1857066.6900000002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1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71006232.459999993</v>
      </c>
      <c r="G660" s="19">
        <f>(L229+L309+L359)</f>
        <v>33073239.180000003</v>
      </c>
      <c r="H660" s="19">
        <f>(L247+L328+L360)</f>
        <v>49195380.230000004</v>
      </c>
      <c r="I660" s="19">
        <f>SUM(F660:H660)</f>
        <v>153274851.87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810095.81724410015</v>
      </c>
      <c r="G661" s="19">
        <f>(L359/IF(SUM(L358:L360)=0,1,SUM(L358:L360))*(SUM(G97:G110)))</f>
        <v>444002.42848824151</v>
      </c>
      <c r="H661" s="19">
        <f>(L360/IF(SUM(L358:L360)=0,1,SUM(L358:L360))*(SUM(G97:G110)))</f>
        <v>623699.24426765845</v>
      </c>
      <c r="I661" s="19">
        <f>SUM(F661:H661)</f>
        <v>1877797.4900000002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3160655.37</v>
      </c>
      <c r="G662" s="19">
        <f>(L226+L306)-(J226+J306)</f>
        <v>1453339.2799999998</v>
      </c>
      <c r="H662" s="19">
        <f>(L244+L325)-(J244+J325)</f>
        <v>1925907.48</v>
      </c>
      <c r="I662" s="19">
        <f>SUM(F662:H662)</f>
        <v>6539902.1300000008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1499115.26</v>
      </c>
      <c r="G663" s="199">
        <f>SUM(G575:G587)+SUM(I602:I604)+L612</f>
        <v>956915.55999999994</v>
      </c>
      <c r="H663" s="199">
        <f>SUM(H575:H587)+SUM(J602:J604)+L613</f>
        <v>4142364.5900000008</v>
      </c>
      <c r="I663" s="19">
        <f>SUM(F663:H663)</f>
        <v>6598395.4100000001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65536366.012755893</v>
      </c>
      <c r="G664" s="19">
        <f>G660-SUM(G661:G663)</f>
        <v>30218981.911511764</v>
      </c>
      <c r="H664" s="19">
        <f>H660-SUM(H661:H663)</f>
        <v>42503408.915732346</v>
      </c>
      <c r="I664" s="19">
        <f>I660-SUM(I661:I663)</f>
        <v>138258756.84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5045.38</v>
      </c>
      <c r="G665" s="247">
        <v>2414.2199999999998</v>
      </c>
      <c r="H665" s="247">
        <v>3464.36</v>
      </c>
      <c r="I665" s="19">
        <f>SUM(F665:H665)</f>
        <v>10923.960000000001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12989.38</v>
      </c>
      <c r="G667" s="19">
        <f>ROUND(G664/G665,2)</f>
        <v>12517.08</v>
      </c>
      <c r="H667" s="19">
        <f>ROUND(H664/H665,2)</f>
        <v>12268.76</v>
      </c>
      <c r="I667" s="19">
        <f>ROUND(I664/I665,2)</f>
        <v>12656.47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18.28</v>
      </c>
      <c r="I670" s="19">
        <f>SUM(F670:H670)</f>
        <v>18.28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12989.38</v>
      </c>
      <c r="G672" s="19">
        <f>ROUND((G664+G669)/(G665+G670),2)</f>
        <v>12517.08</v>
      </c>
      <c r="H672" s="19">
        <f>ROUND((H664+H669)/(H665+H670),2)</f>
        <v>12204.36</v>
      </c>
      <c r="I672" s="19">
        <f>ROUND((I664+I669)/(I665+I670),2)</f>
        <v>12635.32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NASHUA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39032619.769999996</v>
      </c>
      <c r="C9" s="229">
        <f>'DOE25'!G197+'DOE25'!G215+'DOE25'!G233+'DOE25'!G276+'DOE25'!G295+'DOE25'!G314</f>
        <v>17281916.870000001</v>
      </c>
    </row>
    <row r="10" spans="1:3" x14ac:dyDescent="0.2">
      <c r="A10" t="s">
        <v>779</v>
      </c>
      <c r="B10" s="240">
        <v>37557143.579999998</v>
      </c>
      <c r="C10" s="240">
        <v>16628641.300000001</v>
      </c>
    </row>
    <row r="11" spans="1:3" x14ac:dyDescent="0.2">
      <c r="A11" t="s">
        <v>780</v>
      </c>
      <c r="B11" s="240">
        <v>788964.37</v>
      </c>
      <c r="C11" s="240">
        <v>349318.51</v>
      </c>
    </row>
    <row r="12" spans="1:3" x14ac:dyDescent="0.2">
      <c r="A12" t="s">
        <v>781</v>
      </c>
      <c r="B12" s="240">
        <v>686511.82</v>
      </c>
      <c r="C12" s="240">
        <v>303957.06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39032619.769999996</v>
      </c>
      <c r="C13" s="231">
        <f>SUM(C10:C12)</f>
        <v>17281916.870000001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17767025.760000002</v>
      </c>
      <c r="C18" s="229">
        <f>'DOE25'!G198+'DOE25'!G216+'DOE25'!G234+'DOE25'!G277+'DOE25'!G296+'DOE25'!G315</f>
        <v>6169662.96</v>
      </c>
    </row>
    <row r="19" spans="1:3" x14ac:dyDescent="0.2">
      <c r="A19" t="s">
        <v>779</v>
      </c>
      <c r="B19" s="240">
        <v>10362906.050000001</v>
      </c>
      <c r="C19" s="240">
        <v>3598556.03</v>
      </c>
    </row>
    <row r="20" spans="1:3" x14ac:dyDescent="0.2">
      <c r="A20" t="s">
        <v>780</v>
      </c>
      <c r="B20" s="240">
        <v>6573975.3300000001</v>
      </c>
      <c r="C20" s="240">
        <v>2282836.34</v>
      </c>
    </row>
    <row r="21" spans="1:3" x14ac:dyDescent="0.2">
      <c r="A21" t="s">
        <v>781</v>
      </c>
      <c r="B21" s="240">
        <v>830144.38</v>
      </c>
      <c r="C21" s="240">
        <v>288270.59000000003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17767025.760000002</v>
      </c>
      <c r="C22" s="231">
        <f>SUM(C19:C21)</f>
        <v>6169662.959999999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3357320.64</v>
      </c>
      <c r="C27" s="234">
        <f>'DOE25'!G199+'DOE25'!G217+'DOE25'!G235+'DOE25'!G278+'DOE25'!G297+'DOE25'!G316</f>
        <v>1519210.6</v>
      </c>
    </row>
    <row r="28" spans="1:3" x14ac:dyDescent="0.2">
      <c r="A28" t="s">
        <v>779</v>
      </c>
      <c r="B28" s="240">
        <v>3289390.81</v>
      </c>
      <c r="C28" s="240">
        <v>1488471.88</v>
      </c>
    </row>
    <row r="29" spans="1:3" x14ac:dyDescent="0.2">
      <c r="A29" t="s">
        <v>780</v>
      </c>
      <c r="B29" s="240">
        <v>58977.18</v>
      </c>
      <c r="C29" s="240">
        <v>26687.58</v>
      </c>
    </row>
    <row r="30" spans="1:3" x14ac:dyDescent="0.2">
      <c r="A30" t="s">
        <v>781</v>
      </c>
      <c r="B30" s="240">
        <v>8952.65</v>
      </c>
      <c r="C30" s="240">
        <v>4051.14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3357320.64</v>
      </c>
      <c r="C31" s="231">
        <f>SUM(C28:C30)</f>
        <v>1519210.5999999999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1188474.24</v>
      </c>
      <c r="C36" s="235">
        <f>'DOE25'!G200+'DOE25'!G218+'DOE25'!G236+'DOE25'!G279+'DOE25'!G298+'DOE25'!G317</f>
        <v>236193.45</v>
      </c>
    </row>
    <row r="37" spans="1:3" x14ac:dyDescent="0.2">
      <c r="A37" t="s">
        <v>779</v>
      </c>
      <c r="B37" s="240">
        <v>464567.19</v>
      </c>
      <c r="C37" s="240">
        <v>92326.56</v>
      </c>
    </row>
    <row r="38" spans="1:3" x14ac:dyDescent="0.2">
      <c r="A38" t="s">
        <v>780</v>
      </c>
      <c r="B38" s="240">
        <v>101435.24</v>
      </c>
      <c r="C38" s="240">
        <v>20158.900000000001</v>
      </c>
    </row>
    <row r="39" spans="1:3" x14ac:dyDescent="0.2">
      <c r="A39" t="s">
        <v>781</v>
      </c>
      <c r="B39" s="240">
        <v>622471.81000000006</v>
      </c>
      <c r="C39" s="240">
        <v>123707.99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1188474.2400000002</v>
      </c>
      <c r="C40" s="231">
        <f>SUM(C37:C39)</f>
        <v>236193.45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4" t="str">
        <f>'DOE25'!A2</f>
        <v>NASHUA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87838731.910000011</v>
      </c>
      <c r="D5" s="20">
        <f>SUM('DOE25'!L197:L200)+SUM('DOE25'!L215:L218)+SUM('DOE25'!L233:L236)-F5-G5</f>
        <v>87833667.550000012</v>
      </c>
      <c r="E5" s="243"/>
      <c r="F5" s="254">
        <f>SUM('DOE25'!J197:J200)+SUM('DOE25'!J215:J218)+SUM('DOE25'!J233:J236)</f>
        <v>201741.13</v>
      </c>
      <c r="G5" s="53">
        <f>SUM('DOE25'!K197:K200)+SUM('DOE25'!K215:K218)+SUM('DOE25'!K233:K236)</f>
        <v>-196676.77</v>
      </c>
      <c r="H5" s="258"/>
    </row>
    <row r="6" spans="1:9" x14ac:dyDescent="0.2">
      <c r="A6" s="32">
        <v>2100</v>
      </c>
      <c r="B6" t="s">
        <v>801</v>
      </c>
      <c r="C6" s="245">
        <f t="shared" si="0"/>
        <v>12692544.98</v>
      </c>
      <c r="D6" s="20">
        <f>'DOE25'!L202+'DOE25'!L220+'DOE25'!L238-F6-G6</f>
        <v>12687803.35</v>
      </c>
      <c r="E6" s="243"/>
      <c r="F6" s="254">
        <f>'DOE25'!J202+'DOE25'!J220+'DOE25'!J238</f>
        <v>4741.63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5">
        <f t="shared" si="0"/>
        <v>4901188.4700000007</v>
      </c>
      <c r="D7" s="20">
        <f>'DOE25'!L203+'DOE25'!L221+'DOE25'!L239-F7-G7</f>
        <v>4068496.3400000008</v>
      </c>
      <c r="E7" s="243"/>
      <c r="F7" s="254">
        <f>'DOE25'!J203+'DOE25'!J221+'DOE25'!J239</f>
        <v>832692.12999999989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5">
        <f t="shared" si="0"/>
        <v>2588319.1100000003</v>
      </c>
      <c r="D8" s="243"/>
      <c r="E8" s="20">
        <f>'DOE25'!L204+'DOE25'!L222+'DOE25'!L240-F8-G8-D9-D11</f>
        <v>2506683.12</v>
      </c>
      <c r="F8" s="254">
        <f>'DOE25'!J204+'DOE25'!J222+'DOE25'!J240</f>
        <v>349.99</v>
      </c>
      <c r="G8" s="53">
        <f>'DOE25'!K204+'DOE25'!K222+'DOE25'!K240</f>
        <v>81286</v>
      </c>
      <c r="H8" s="258"/>
    </row>
    <row r="9" spans="1:9" x14ac:dyDescent="0.2">
      <c r="A9" s="32">
        <v>2310</v>
      </c>
      <c r="B9" t="s">
        <v>818</v>
      </c>
      <c r="C9" s="245">
        <f t="shared" si="0"/>
        <v>90146.11</v>
      </c>
      <c r="D9" s="244">
        <v>90146.11</v>
      </c>
      <c r="E9" s="243"/>
      <c r="F9" s="257"/>
      <c r="G9" s="255"/>
      <c r="H9" s="258"/>
    </row>
    <row r="10" spans="1:9" x14ac:dyDescent="0.2">
      <c r="A10" s="32">
        <v>2317</v>
      </c>
      <c r="B10" t="s">
        <v>819</v>
      </c>
      <c r="C10" s="245">
        <f t="shared" si="0"/>
        <v>20750</v>
      </c>
      <c r="D10" s="243"/>
      <c r="E10" s="244">
        <v>20750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5">
        <f t="shared" si="0"/>
        <v>558612.92000000004</v>
      </c>
      <c r="D11" s="244">
        <v>558612.92000000004</v>
      </c>
      <c r="E11" s="243"/>
      <c r="F11" s="257"/>
      <c r="G11" s="255"/>
      <c r="H11" s="258"/>
    </row>
    <row r="12" spans="1:9" x14ac:dyDescent="0.2">
      <c r="A12" s="32">
        <v>2400</v>
      </c>
      <c r="B12" t="s">
        <v>715</v>
      </c>
      <c r="C12" s="245">
        <f t="shared" si="0"/>
        <v>7184070.5700000003</v>
      </c>
      <c r="D12" s="20">
        <f>'DOE25'!L205+'DOE25'!L223+'DOE25'!L241-F12-G12</f>
        <v>7182228.0899999999</v>
      </c>
      <c r="E12" s="243"/>
      <c r="F12" s="254">
        <f>'DOE25'!J205+'DOE25'!J223+'DOE25'!J241</f>
        <v>1842.48</v>
      </c>
      <c r="G12" s="53">
        <f>'DOE25'!K205+'DOE25'!K223+'DOE25'!K241</f>
        <v>0</v>
      </c>
      <c r="H12" s="258"/>
    </row>
    <row r="13" spans="1:9" x14ac:dyDescent="0.2">
      <c r="A13" s="32">
        <v>2500</v>
      </c>
      <c r="B13" t="s">
        <v>803</v>
      </c>
      <c r="C13" s="245">
        <f t="shared" si="0"/>
        <v>932961.98</v>
      </c>
      <c r="D13" s="243"/>
      <c r="E13" s="20">
        <f>'DOE25'!L206+'DOE25'!L224+'DOE25'!L242-F13-G13</f>
        <v>932961.98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5">
        <f t="shared" si="0"/>
        <v>13854147.720000003</v>
      </c>
      <c r="D14" s="20">
        <f>'DOE25'!L207+'DOE25'!L225+'DOE25'!L243-F14-G14</f>
        <v>13970935.810000002</v>
      </c>
      <c r="E14" s="243"/>
      <c r="F14" s="254">
        <f>'DOE25'!J207+'DOE25'!J225+'DOE25'!J243</f>
        <v>44688.15</v>
      </c>
      <c r="G14" s="53">
        <f>'DOE25'!K207+'DOE25'!K225+'DOE25'!K243</f>
        <v>-161476.24000000002</v>
      </c>
      <c r="H14" s="258"/>
    </row>
    <row r="15" spans="1:9" x14ac:dyDescent="0.2">
      <c r="A15" s="32">
        <v>2700</v>
      </c>
      <c r="B15" t="s">
        <v>804</v>
      </c>
      <c r="C15" s="245">
        <f t="shared" si="0"/>
        <v>6300411.3200000003</v>
      </c>
      <c r="D15" s="20">
        <f>'DOE25'!L208+'DOE25'!L226+'DOE25'!L244-F15-G15</f>
        <v>6300411.3200000003</v>
      </c>
      <c r="E15" s="243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5">
        <f t="shared" si="0"/>
        <v>553022.17999999993</v>
      </c>
      <c r="D16" s="243"/>
      <c r="E16" s="20">
        <f>'DOE25'!L209+'DOE25'!L227+'DOE25'!L245-F16-G16</f>
        <v>553022.17999999993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5">
        <f t="shared" si="0"/>
        <v>145772.75</v>
      </c>
      <c r="D17" s="20">
        <f>'DOE25'!L251-F17-G17</f>
        <v>145772.75</v>
      </c>
      <c r="E17" s="243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5">
        <f>SUM(D22:H22)</f>
        <v>68311</v>
      </c>
      <c r="D22" s="243"/>
      <c r="E22" s="243"/>
      <c r="F22" s="254">
        <f>'DOE25'!L255+'DOE25'!L336</f>
        <v>68311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5">
        <f>SUM(D25:H25)</f>
        <v>11850593</v>
      </c>
      <c r="D25" s="243"/>
      <c r="E25" s="243"/>
      <c r="F25" s="257"/>
      <c r="G25" s="255"/>
      <c r="H25" s="256">
        <f>'DOE25'!L260+'DOE25'!L261+'DOE25'!L341+'DOE25'!L342</f>
        <v>11850593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5">
        <f>SUM(D29:H29)</f>
        <v>2814797.8899999997</v>
      </c>
      <c r="D29" s="20">
        <f>'DOE25'!L358+'DOE25'!L359+'DOE25'!L360-'DOE25'!I367-F29-G29</f>
        <v>2792287.9499999997</v>
      </c>
      <c r="E29" s="243"/>
      <c r="F29" s="254">
        <f>'DOE25'!J358+'DOE25'!J359+'DOE25'!J360</f>
        <v>22509.940000000002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5">
        <f>SUM(D31:H31)</f>
        <v>11047116.239999998</v>
      </c>
      <c r="D31" s="20">
        <f>'DOE25'!L290+'DOE25'!L309+'DOE25'!L328+'DOE25'!L333+'DOE25'!L334+'DOE25'!L335-F31-G31</f>
        <v>9742803.1099999994</v>
      </c>
      <c r="E31" s="243"/>
      <c r="F31" s="254">
        <f>'DOE25'!J290+'DOE25'!J309+'DOE25'!J328+'DOE25'!J333+'DOE25'!J334+'DOE25'!J335</f>
        <v>765579.04</v>
      </c>
      <c r="G31" s="53">
        <f>'DOE25'!K290+'DOE25'!K309+'DOE25'!K328+'DOE25'!K333+'DOE25'!K334+'DOE25'!K335</f>
        <v>538734.09000000008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6">
        <f>SUM(D5:D31)</f>
        <v>145373165.30000001</v>
      </c>
      <c r="E33" s="246">
        <f>SUM(E5:E31)</f>
        <v>4013417.2800000003</v>
      </c>
      <c r="F33" s="246">
        <f>SUM(F5:F31)</f>
        <v>1942455.4899999998</v>
      </c>
      <c r="G33" s="246">
        <f>SUM(G5:G31)</f>
        <v>261867.08000000007</v>
      </c>
      <c r="H33" s="246">
        <f>SUM(H5:H31)</f>
        <v>11850593</v>
      </c>
    </row>
    <row r="35" spans="2:8" ht="12" thickBot="1" x14ac:dyDescent="0.25">
      <c r="B35" s="252" t="s">
        <v>847</v>
      </c>
      <c r="D35" s="253">
        <f>E33</f>
        <v>4013417.2800000003</v>
      </c>
      <c r="E35" s="248"/>
    </row>
    <row r="36" spans="2:8" ht="12" thickTop="1" x14ac:dyDescent="0.2">
      <c r="B36" t="s">
        <v>815</v>
      </c>
      <c r="D36" s="20">
        <f>D33</f>
        <v>145373165.30000001</v>
      </c>
    </row>
    <row r="38" spans="2:8" x14ac:dyDescent="0.2">
      <c r="B38" s="187" t="s">
        <v>905</v>
      </c>
      <c r="C38" s="265"/>
      <c r="D38" s="266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NASHUA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3445905.83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5537909.8399999999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294270.17</v>
      </c>
      <c r="E11" s="95">
        <f>'DOE25'!H12</f>
        <v>0</v>
      </c>
      <c r="F11" s="95">
        <f>'DOE25'!I12</f>
        <v>2846696.89</v>
      </c>
      <c r="G11" s="95">
        <f>'DOE25'!J12</f>
        <v>22601.51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211536.23</v>
      </c>
      <c r="E12" s="95">
        <f>'DOE25'!H13</f>
        <v>2723582.45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29679.79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505806.4</v>
      </c>
      <c r="E18" s="41">
        <f>SUM(E8:E17)</f>
        <v>2753262.24</v>
      </c>
      <c r="F18" s="41">
        <f>SUM(F8:F17)</f>
        <v>2846696.89</v>
      </c>
      <c r="G18" s="41">
        <f>SUM(G8:G17)</f>
        <v>9006417.1799999997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1515082.83</v>
      </c>
      <c r="F21" s="95">
        <f>'DOE25'!I22</f>
        <v>0</v>
      </c>
      <c r="G21" s="95">
        <f>'DOE25'!J22</f>
        <v>240805.49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811.14</v>
      </c>
      <c r="E23" s="95">
        <f>'DOE25'!H24</f>
        <v>363670.44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58334.52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811.14</v>
      </c>
      <c r="E31" s="41">
        <f>SUM(E21:E30)</f>
        <v>1937087.79</v>
      </c>
      <c r="F31" s="41">
        <f>SUM(F21:F30)</f>
        <v>0</v>
      </c>
      <c r="G31" s="41">
        <f>SUM(G21:G30)</f>
        <v>240805.49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5036348.5999999996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458649.42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468507.26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160729.57</v>
      </c>
      <c r="F47" s="95">
        <f>'DOE25'!I48</f>
        <v>392732.14</v>
      </c>
      <c r="G47" s="95">
        <f>'DOE25'!J48</f>
        <v>3199188.77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36488</v>
      </c>
      <c r="E48" s="95">
        <f>'DOE25'!H49</f>
        <v>655444.88</v>
      </c>
      <c r="F48" s="95">
        <f>'DOE25'!I49</f>
        <v>2453964.75</v>
      </c>
      <c r="G48" s="95">
        <f>'DOE25'!J49</f>
        <v>71424.899999999994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504995.26</v>
      </c>
      <c r="E50" s="41">
        <f>SUM(E34:E49)</f>
        <v>816174.45</v>
      </c>
      <c r="F50" s="41">
        <f>SUM(F34:F49)</f>
        <v>2846696.89</v>
      </c>
      <c r="G50" s="41">
        <f>SUM(G34:G49)</f>
        <v>8765611.6899999995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505806.4</v>
      </c>
      <c r="E51" s="41">
        <f>E50+E31</f>
        <v>2753262.24</v>
      </c>
      <c r="F51" s="41">
        <f>F50+F31</f>
        <v>2846696.89</v>
      </c>
      <c r="G51" s="41">
        <f>G50+G31</f>
        <v>9006417.1799999997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88436372.510000005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23218</v>
      </c>
      <c r="D57" s="24" t="s">
        <v>289</v>
      </c>
      <c r="E57" s="95">
        <f>'DOE25'!H79</f>
        <v>880397.53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81338.75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558.27</v>
      </c>
      <c r="E59" s="95">
        <f>'DOE25'!H96</f>
        <v>0</v>
      </c>
      <c r="F59" s="95">
        <f>'DOE25'!I96</f>
        <v>0</v>
      </c>
      <c r="G59" s="95">
        <f>'DOE25'!J96</f>
        <v>188017.9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1877797.49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48041.85</v>
      </c>
      <c r="D61" s="95">
        <f>SUM('DOE25'!G98:G110)</f>
        <v>0</v>
      </c>
      <c r="E61" s="95">
        <f>SUM('DOE25'!H98:H110)</f>
        <v>449171.87</v>
      </c>
      <c r="F61" s="95">
        <f>SUM('DOE25'!I98:I110)</f>
        <v>20000</v>
      </c>
      <c r="G61" s="95">
        <f>SUM('DOE25'!J98:J110)</f>
        <v>315934.76999999996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152598.6</v>
      </c>
      <c r="D62" s="130">
        <f>SUM(D57:D61)</f>
        <v>1878355.76</v>
      </c>
      <c r="E62" s="130">
        <f>SUM(E57:E61)</f>
        <v>1329569.3999999999</v>
      </c>
      <c r="F62" s="130">
        <f>SUM(F57:F61)</f>
        <v>20000</v>
      </c>
      <c r="G62" s="130">
        <f>SUM(G57:G61)</f>
        <v>503952.66999999993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88588971.109999999</v>
      </c>
      <c r="D63" s="22">
        <f>D56+D62</f>
        <v>1878355.76</v>
      </c>
      <c r="E63" s="22">
        <f>E56+E62</f>
        <v>1329569.3999999999</v>
      </c>
      <c r="F63" s="22">
        <f>F56+F62</f>
        <v>20000</v>
      </c>
      <c r="G63" s="22">
        <f>G56+G62</f>
        <v>503952.66999999993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36088465.57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19843159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55931624.57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2469049.0299999998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444141.48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200957.86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73449.58</v>
      </c>
      <c r="E77" s="95">
        <f>SUM('DOE25'!H131:H135)</f>
        <v>205339.01</v>
      </c>
      <c r="F77" s="95">
        <f>SUM('DOE25'!I131:I135)</f>
        <v>50000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3114148.3699999996</v>
      </c>
      <c r="D78" s="130">
        <f>SUM(D72:D77)</f>
        <v>73449.58</v>
      </c>
      <c r="E78" s="130">
        <f>SUM(E72:E77)</f>
        <v>205339.01</v>
      </c>
      <c r="F78" s="130">
        <f>SUM(F72:F77)</f>
        <v>50000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59045772.939999998</v>
      </c>
      <c r="D81" s="130">
        <f>SUM(D79:D80)+D78+D70</f>
        <v>73449.58</v>
      </c>
      <c r="E81" s="130">
        <f>SUM(E79:E80)+E78+E70</f>
        <v>205339.01</v>
      </c>
      <c r="F81" s="130">
        <f>SUM(F79:F80)+F78+F70</f>
        <v>50000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615907.77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1724089.97</v>
      </c>
      <c r="D88" s="95">
        <f>SUM('DOE25'!G153:G161)</f>
        <v>2931424.9</v>
      </c>
      <c r="E88" s="95">
        <f>SUM('DOE25'!H153:H161)</f>
        <v>8695381.8000000007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1724089.97</v>
      </c>
      <c r="D91" s="131">
        <f>SUM(D85:D90)</f>
        <v>2931424.9</v>
      </c>
      <c r="E91" s="131">
        <f>SUM(E85:E90)</f>
        <v>9311289.5700000003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11800000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124061.85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200000</v>
      </c>
      <c r="D103" s="86">
        <f>SUM(D93:D102)</f>
        <v>0</v>
      </c>
      <c r="E103" s="86">
        <f>SUM(E93:E102)</f>
        <v>0</v>
      </c>
      <c r="F103" s="86">
        <f>SUM(F93:F102)</f>
        <v>11924061.85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149558834.02000001</v>
      </c>
      <c r="D104" s="86">
        <f>D63+D81+D91+D103</f>
        <v>4883230.24</v>
      </c>
      <c r="E104" s="86">
        <f>E63+E81+E91+E103</f>
        <v>10846197.98</v>
      </c>
      <c r="F104" s="86">
        <f>F63+F81+F91+F103</f>
        <v>11994061.85</v>
      </c>
      <c r="G104" s="86">
        <f>G63+G81+G103</f>
        <v>503952.66999999993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57407951.710000001</v>
      </c>
      <c r="D109" s="24" t="s">
        <v>289</v>
      </c>
      <c r="E109" s="95">
        <f>('DOE25'!L276)+('DOE25'!L295)+('DOE25'!L314)</f>
        <v>258619.30000000002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24294356.530000001</v>
      </c>
      <c r="D110" s="24" t="s">
        <v>289</v>
      </c>
      <c r="E110" s="95">
        <f>('DOE25'!L277)+('DOE25'!L296)+('DOE25'!L315)</f>
        <v>5710861.0800000001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5040050.1000000006</v>
      </c>
      <c r="D111" s="24" t="s">
        <v>289</v>
      </c>
      <c r="E111" s="95">
        <f>('DOE25'!L278)+('DOE25'!L297)+('DOE25'!L316)</f>
        <v>229763.87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1096373.5699999998</v>
      </c>
      <c r="D112" s="24" t="s">
        <v>289</v>
      </c>
      <c r="E112" s="95">
        <f>+('DOE25'!L279)+('DOE25'!L298)+('DOE25'!L317)</f>
        <v>1036298.8500000001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10016.519999999999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145772.75</v>
      </c>
      <c r="D114" s="24" t="s">
        <v>289</v>
      </c>
      <c r="E114" s="95">
        <f>+ SUM('DOE25'!L333:L335)</f>
        <v>194400.48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87984504.659999996</v>
      </c>
      <c r="D115" s="86">
        <f>SUM(D109:D114)</f>
        <v>0</v>
      </c>
      <c r="E115" s="86">
        <f>SUM(E109:E114)</f>
        <v>7439960.0999999996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12692544.98</v>
      </c>
      <c r="D118" s="24" t="s">
        <v>289</v>
      </c>
      <c r="E118" s="95">
        <f>+('DOE25'!L281)+('DOE25'!L300)+('DOE25'!L319)</f>
        <v>575246.5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4901188.4700000007</v>
      </c>
      <c r="D119" s="24" t="s">
        <v>289</v>
      </c>
      <c r="E119" s="95">
        <f>+('DOE25'!L282)+('DOE25'!L301)+('DOE25'!L320)</f>
        <v>2171281.6999999997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3237078.14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7184070.5700000003</v>
      </c>
      <c r="D121" s="24" t="s">
        <v>289</v>
      </c>
      <c r="E121" s="95">
        <f>+('DOE25'!L284)+('DOE25'!L303)+('DOE25'!L322)</f>
        <v>169709.13999999998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932961.98</v>
      </c>
      <c r="D122" s="24" t="s">
        <v>289</v>
      </c>
      <c r="E122" s="95">
        <f>+('DOE25'!L285)+('DOE25'!L304)+('DOE25'!L323)</f>
        <v>273960.64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13854147.720000003</v>
      </c>
      <c r="D123" s="24" t="s">
        <v>289</v>
      </c>
      <c r="E123" s="95">
        <f>+('DOE25'!L286)+('DOE25'!L305)+('DOE25'!L324)</f>
        <v>187228.21000000002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6300411.3200000003</v>
      </c>
      <c r="D124" s="24" t="s">
        <v>289</v>
      </c>
      <c r="E124" s="95">
        <f>+('DOE25'!L287)+('DOE25'!L306)+('DOE25'!L325)</f>
        <v>239490.81000000003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553022.17999999993</v>
      </c>
      <c r="D125" s="24" t="s">
        <v>289</v>
      </c>
      <c r="E125" s="95">
        <f>+('DOE25'!L288)+('DOE25'!L307)+('DOE25'!L326)</f>
        <v>255.66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4927978.84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49655425.360000007</v>
      </c>
      <c r="D128" s="86">
        <f>SUM(D118:D127)</f>
        <v>4927978.84</v>
      </c>
      <c r="E128" s="86">
        <f>SUM(E118:E127)</f>
        <v>3617172.66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68311</v>
      </c>
      <c r="D130" s="24" t="s">
        <v>289</v>
      </c>
      <c r="E130" s="129">
        <f>'DOE25'!L336</f>
        <v>0</v>
      </c>
      <c r="F130" s="129">
        <f>SUM('DOE25'!L374:'DOE25'!L380)</f>
        <v>9974090.1099999994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8907380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2943213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324061.84999999998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4144.96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291221.94999999995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208585.76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-503952.67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11918904</v>
      </c>
      <c r="D144" s="141">
        <f>SUM(D130:D143)</f>
        <v>0</v>
      </c>
      <c r="E144" s="141">
        <f>SUM(E130:E143)</f>
        <v>0</v>
      </c>
      <c r="F144" s="141">
        <f>SUM(F130:F143)</f>
        <v>9974090.1099999994</v>
      </c>
      <c r="G144" s="141">
        <f>SUM(G130:G143)</f>
        <v>324061.84999999998</v>
      </c>
    </row>
    <row r="145" spans="1:9" ht="12.75" thickTop="1" thickBot="1" x14ac:dyDescent="0.25">
      <c r="A145" s="33" t="s">
        <v>244</v>
      </c>
      <c r="C145" s="86">
        <f>(C115+C128+C144)</f>
        <v>149558834.02000001</v>
      </c>
      <c r="D145" s="86">
        <f>(D115+D128+D144)</f>
        <v>4927978.84</v>
      </c>
      <c r="E145" s="86">
        <f>(E115+E128+E144)</f>
        <v>11057132.76</v>
      </c>
      <c r="F145" s="86">
        <f>(F115+F128+F144)</f>
        <v>9974090.1099999994</v>
      </c>
      <c r="G145" s="86">
        <f>(G115+G128+G144)</f>
        <v>324061.84999999998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*SEE SUPPLEMENTAL SCHEDULE*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70948145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70948145</v>
      </c>
    </row>
    <row r="157" spans="1:9" x14ac:dyDescent="0.2">
      <c r="A157" s="22" t="s">
        <v>33</v>
      </c>
      <c r="B157" s="137">
        <f>'DOE25'!F496</f>
        <v>32630400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32630400</v>
      </c>
    </row>
    <row r="158" spans="1:9" x14ac:dyDescent="0.2">
      <c r="A158" s="22" t="s">
        <v>34</v>
      </c>
      <c r="B158" s="137">
        <f>'DOE25'!F497</f>
        <v>31926305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31926305</v>
      </c>
    </row>
    <row r="159" spans="1:9" x14ac:dyDescent="0.2">
      <c r="A159" s="22" t="s">
        <v>35</v>
      </c>
      <c r="B159" s="137">
        <f>'DOE25'!F498</f>
        <v>71652240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71652240</v>
      </c>
    </row>
    <row r="160" spans="1:9" x14ac:dyDescent="0.2">
      <c r="A160" s="22" t="s">
        <v>36</v>
      </c>
      <c r="B160" s="137">
        <f>'DOE25'!F499</f>
        <v>16481010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16481010</v>
      </c>
    </row>
    <row r="161" spans="1:7" x14ac:dyDescent="0.2">
      <c r="A161" s="22" t="s">
        <v>37</v>
      </c>
      <c r="B161" s="137">
        <f>'DOE25'!F500</f>
        <v>88133250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88133250</v>
      </c>
    </row>
    <row r="162" spans="1:7" x14ac:dyDescent="0.2">
      <c r="A162" s="22" t="s">
        <v>38</v>
      </c>
      <c r="B162" s="137">
        <f>'DOE25'!F501</f>
        <v>8329240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8329240</v>
      </c>
    </row>
    <row r="163" spans="1:7" x14ac:dyDescent="0.2">
      <c r="A163" s="22" t="s">
        <v>39</v>
      </c>
      <c r="B163" s="137">
        <f>'DOE25'!F502</f>
        <v>2597765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2597765</v>
      </c>
    </row>
    <row r="164" spans="1:7" x14ac:dyDescent="0.2">
      <c r="A164" s="22" t="s">
        <v>246</v>
      </c>
      <c r="B164" s="137">
        <f>'DOE25'!F503</f>
        <v>10927005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10927005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NASHUA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12989</v>
      </c>
    </row>
    <row r="5" spans="1:4" x14ac:dyDescent="0.2">
      <c r="B5" t="s">
        <v>704</v>
      </c>
      <c r="C5" s="179">
        <f>IF('DOE25'!G665+'DOE25'!G670=0,0,ROUND('DOE25'!G672,0))</f>
        <v>12517</v>
      </c>
    </row>
    <row r="6" spans="1:4" x14ac:dyDescent="0.2">
      <c r="B6" t="s">
        <v>62</v>
      </c>
      <c r="C6" s="179">
        <f>IF('DOE25'!H665+'DOE25'!H670=0,0,ROUND('DOE25'!H672,0))</f>
        <v>12204</v>
      </c>
    </row>
    <row r="7" spans="1:4" x14ac:dyDescent="0.2">
      <c r="B7" t="s">
        <v>705</v>
      </c>
      <c r="C7" s="179">
        <f>IF('DOE25'!I665+'DOE25'!I670=0,0,ROUND('DOE25'!I672,0))</f>
        <v>12635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57666571</v>
      </c>
      <c r="D10" s="182">
        <f>ROUND((C10/$C$28)*100,1)</f>
        <v>37.299999999999997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30005218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5269814</v>
      </c>
      <c r="D12" s="182">
        <f>ROUND((C12/$C$28)*100,1)</f>
        <v>3.4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2132672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13267791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7072470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3790356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7353780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1206923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14041376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6539902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10017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340173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2943213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3050181.51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154690457.50999999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10042401</v>
      </c>
    </row>
    <row r="30" spans="1:4" x14ac:dyDescent="0.2">
      <c r="B30" s="187" t="s">
        <v>729</v>
      </c>
      <c r="C30" s="180">
        <f>SUM(C28:C29)</f>
        <v>164732858.50999999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8907380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88436373</v>
      </c>
      <c r="D35" s="182">
        <f t="shared" ref="D35:D40" si="1">ROUND((C35/$C$41)*100,1)</f>
        <v>53.7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3043778.4500000179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55931625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3442937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13966804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164821517.45000002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10762900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NASHUA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mergeCells count="223"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BC31:BM31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BC40:BM40"/>
    <mergeCell ref="P40:Z40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2016-10-18T15:32:35Z</cp:lastPrinted>
  <dcterms:created xsi:type="dcterms:W3CDTF">1997-12-04T19:04:30Z</dcterms:created>
  <dcterms:modified xsi:type="dcterms:W3CDTF">2016-11-30T16:39:28Z</dcterms:modified>
</cp:coreProperties>
</file>