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E8" i="13" s="1"/>
  <c r="C8" i="13" s="1"/>
  <c r="L240" i="1"/>
  <c r="D39" i="13"/>
  <c r="F13" i="13"/>
  <c r="G13" i="13"/>
  <c r="E13" i="13" s="1"/>
  <c r="C13" i="13" s="1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D29" i="13" s="1"/>
  <c r="C29" i="13" s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90" i="1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G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E121" i="2"/>
  <c r="C122" i="2"/>
  <c r="E122" i="2"/>
  <c r="E123" i="2"/>
  <c r="C124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H642" i="1" s="1"/>
  <c r="F470" i="1"/>
  <c r="G470" i="1"/>
  <c r="H470" i="1"/>
  <c r="I470" i="1"/>
  <c r="I476" i="1" s="1"/>
  <c r="H625" i="1" s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J545" i="1" s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H644" i="1"/>
  <c r="G645" i="1"/>
  <c r="H645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L351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56" i="2"/>
  <c r="E103" i="2"/>
  <c r="E62" i="2"/>
  <c r="E63" i="2" s="1"/>
  <c r="E31" i="2"/>
  <c r="G62" i="2"/>
  <c r="D19" i="13"/>
  <c r="C19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G338" i="1"/>
  <c r="G352" i="1" s="1"/>
  <c r="F169" i="1"/>
  <c r="J140" i="1"/>
  <c r="F571" i="1"/>
  <c r="I552" i="1"/>
  <c r="G22" i="2"/>
  <c r="K545" i="1"/>
  <c r="J552" i="1"/>
  <c r="H140" i="1"/>
  <c r="L401" i="1"/>
  <c r="C139" i="2" s="1"/>
  <c r="L393" i="1"/>
  <c r="F22" i="13"/>
  <c r="C22" i="13" s="1"/>
  <c r="H25" i="13"/>
  <c r="C25" i="13" s="1"/>
  <c r="H571" i="1"/>
  <c r="L560" i="1"/>
  <c r="H338" i="1"/>
  <c r="H352" i="1" s="1"/>
  <c r="F338" i="1"/>
  <c r="F352" i="1" s="1"/>
  <c r="G192" i="1"/>
  <c r="H192" i="1"/>
  <c r="E128" i="2"/>
  <c r="C35" i="10"/>
  <c r="L309" i="1"/>
  <c r="J655" i="1"/>
  <c r="J645" i="1"/>
  <c r="L570" i="1"/>
  <c r="I571" i="1"/>
  <c r="I545" i="1"/>
  <c r="G36" i="2"/>
  <c r="L565" i="1"/>
  <c r="K551" i="1"/>
  <c r="C138" i="2"/>
  <c r="G161" i="2" l="1"/>
  <c r="D91" i="2"/>
  <c r="D7" i="13"/>
  <c r="C7" i="13" s="1"/>
  <c r="E16" i="13"/>
  <c r="C16" i="13" s="1"/>
  <c r="L614" i="1"/>
  <c r="J651" i="1"/>
  <c r="J649" i="1"/>
  <c r="K598" i="1"/>
  <c r="G647" i="1" s="1"/>
  <c r="J647" i="1" s="1"/>
  <c r="K550" i="1"/>
  <c r="H552" i="1"/>
  <c r="H545" i="1"/>
  <c r="G545" i="1"/>
  <c r="L545" i="1"/>
  <c r="K549" i="1"/>
  <c r="K552" i="1" s="1"/>
  <c r="F552" i="1"/>
  <c r="J640" i="1"/>
  <c r="L382" i="1"/>
  <c r="G636" i="1" s="1"/>
  <c r="J636" i="1" s="1"/>
  <c r="C29" i="10"/>
  <c r="J634" i="1"/>
  <c r="F661" i="1"/>
  <c r="I661" i="1"/>
  <c r="D127" i="2"/>
  <c r="D128" i="2" s="1"/>
  <c r="D145" i="2" s="1"/>
  <c r="L362" i="1"/>
  <c r="C27" i="10" s="1"/>
  <c r="J338" i="1"/>
  <c r="J352" i="1" s="1"/>
  <c r="E115" i="2"/>
  <c r="C13" i="10"/>
  <c r="H33" i="13"/>
  <c r="H647" i="1"/>
  <c r="K257" i="1"/>
  <c r="K271" i="1" s="1"/>
  <c r="G257" i="1"/>
  <c r="G271" i="1" s="1"/>
  <c r="C11" i="10"/>
  <c r="L247" i="1"/>
  <c r="H660" i="1" s="1"/>
  <c r="H664" i="1" s="1"/>
  <c r="C10" i="10"/>
  <c r="I257" i="1"/>
  <c r="I271" i="1" s="1"/>
  <c r="F257" i="1"/>
  <c r="F271" i="1" s="1"/>
  <c r="I662" i="1"/>
  <c r="C120" i="2"/>
  <c r="H257" i="1"/>
  <c r="H271" i="1" s="1"/>
  <c r="C112" i="2"/>
  <c r="L229" i="1"/>
  <c r="G660" i="1" s="1"/>
  <c r="G664" i="1" s="1"/>
  <c r="G667" i="1" s="1"/>
  <c r="C109" i="2"/>
  <c r="C125" i="2"/>
  <c r="C20" i="10"/>
  <c r="C16" i="10"/>
  <c r="D14" i="13"/>
  <c r="C14" i="13" s="1"/>
  <c r="C110" i="2"/>
  <c r="D5" i="13"/>
  <c r="C5" i="13" s="1"/>
  <c r="C17" i="10"/>
  <c r="C121" i="2"/>
  <c r="E33" i="13"/>
  <c r="D35" i="13" s="1"/>
  <c r="L211" i="1"/>
  <c r="F660" i="1" s="1"/>
  <c r="F664" i="1" s="1"/>
  <c r="F672" i="1" s="1"/>
  <c r="C4" i="10" s="1"/>
  <c r="C81" i="2"/>
  <c r="C62" i="2"/>
  <c r="C63" i="2" s="1"/>
  <c r="J625" i="1"/>
  <c r="J622" i="1"/>
  <c r="H52" i="1"/>
  <c r="H619" i="1" s="1"/>
  <c r="J617" i="1"/>
  <c r="D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A22" i="12"/>
  <c r="H646" i="1"/>
  <c r="H648" i="1"/>
  <c r="J648" i="1" s="1"/>
  <c r="J652" i="1"/>
  <c r="J642" i="1"/>
  <c r="G571" i="1"/>
  <c r="I434" i="1"/>
  <c r="G434" i="1"/>
  <c r="I663" i="1"/>
  <c r="F33" i="13" l="1"/>
  <c r="G104" i="2"/>
  <c r="G51" i="2"/>
  <c r="G635" i="1"/>
  <c r="J635" i="1" s="1"/>
  <c r="H667" i="1"/>
  <c r="H672" i="1"/>
  <c r="C6" i="10" s="1"/>
  <c r="C28" i="10"/>
  <c r="D23" i="10" s="1"/>
  <c r="C115" i="2"/>
  <c r="C128" i="2"/>
  <c r="L257" i="1"/>
  <c r="L271" i="1" s="1"/>
  <c r="G632" i="1" s="1"/>
  <c r="J632" i="1" s="1"/>
  <c r="I660" i="1"/>
  <c r="I664" i="1" s="1"/>
  <c r="I672" i="1" s="1"/>
  <c r="C7" i="10" s="1"/>
  <c r="F667" i="1"/>
  <c r="F104" i="2"/>
  <c r="I193" i="1"/>
  <c r="G630" i="1" s="1"/>
  <c r="J630" i="1" s="1"/>
  <c r="C104" i="2"/>
  <c r="G672" i="1"/>
  <c r="C5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C145" i="2" l="1"/>
  <c r="D15" i="10"/>
  <c r="D17" i="10"/>
  <c r="D24" i="10"/>
  <c r="D20" i="10"/>
  <c r="D21" i="10"/>
  <c r="D13" i="10"/>
  <c r="D12" i="10"/>
  <c r="D27" i="10"/>
  <c r="D11" i="10"/>
  <c r="D19" i="10"/>
  <c r="D18" i="10"/>
  <c r="D25" i="10"/>
  <c r="D22" i="10"/>
  <c r="D10" i="10"/>
  <c r="D26" i="10"/>
  <c r="C30" i="10"/>
  <c r="D16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<sst xmlns="http://schemas.openxmlformats.org/spreadsheetml/2006/main" count="3958" uniqueCount="916">
  <si>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</si>
  <si>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</si>
  <si>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</si>
  <si>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</si>
  <si>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</si>
  <si>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</si>
  <si>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</si>
  <si>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</si>
  <si>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</si>
  <si>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</si>
  <si>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</si>
  <si>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</si>
  <si>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</si>
  <si>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</si>
  <si>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</si>
  <si>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</si>
  <si>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</si>
  <si>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</si>
  <si>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</si>
  <si>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</si>
  <si>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</si>
  <si>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</si>
  <si>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</si>
  <si>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</si>
  <si>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</si>
  <si>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</si>
  <si>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</si>
  <si>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</si>
  <si>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</si>
  <si>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</si>
  <si>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</si>
  <si>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</si>
  <si>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</si>
  <si>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</si>
  <si>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</si>
  <si>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</si>
  <si>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</si>
  <si>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</si>
  <si>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</si>
  <si>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</si>
  <si>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</si>
  <si>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</si>
  <si>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</si>
  <si>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</si>
  <si>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</si>
  <si>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</si>
  <si>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</si>
  <si>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</si>
  <si>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</si>
  <si>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</si>
  <si>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</si>
  <si>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</si>
  <si>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</si>
  <si>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</si>
  <si>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</si>
  <si>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</si>
  <si>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</si>
  <si>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</si>
  <si>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</si>
  <si>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</si>
  <si>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</si>
  <si>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</si>
  <si>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</si>
  <si>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</si>
  <si>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</si>
  <si>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</si>
  <si>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</si>
  <si>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</si>
  <si>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</si>
  <si>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</si>
  <si>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</si>
  <si>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</si>
  <si>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</si>
  <si>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</si>
  <si>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</si>
  <si>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</si>
  <si>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</si>
  <si>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</si>
  <si>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</si>
  <si>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</si>
  <si>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</si>
  <si>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</si>
  <si>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</si>
  <si>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</si>
  <si>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</si>
  <si>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</si>
  <si>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</si>
  <si>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</si>
  <si>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</si>
  <si>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</si>
  <si>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</si>
  <si>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</si>
  <si>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</si>
  <si>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</si>
  <si>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</si>
  <si>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</si>
  <si>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</si>
  <si>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</si>
  <si>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</si>
  <si>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</si>
  <si>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</si>
  <si>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</si>
  <si>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</si>
  <si>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</si>
  <si>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</si>
  <si>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</si>
  <si>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</si>
  <si>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</si>
  <si>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</si>
  <si>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</si>
  <si>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</si>
  <si>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</si>
  <si>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</si>
  <si>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</si>
  <si>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</si>
  <si>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</si>
  <si>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</si>
  <si>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</si>
  <si>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</si>
  <si>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</si>
  <si>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</si>
  <si>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</si>
  <si>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</si>
  <si>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</si>
  <si>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</si>
  <si>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</si>
  <si>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</si>
  <si>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</si>
  <si>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</si>
  <si>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</si>
  <si>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</si>
  <si>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</si>
  <si>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</si>
  <si>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</si>
  <si>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</si>
  <si>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</si>
  <si>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</si>
  <si>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</si>
  <si>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</si>
  <si>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</si>
  <si>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</si>
  <si>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</si>
  <si>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</si>
  <si>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</si>
  <si>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</si>
  <si>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</si>
  <si>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</si>
  <si>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</si>
  <si>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</si>
  <si>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</si>
  <si>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</si>
  <si>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</si>
  <si>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</si>
  <si>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</si>
  <si>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</si>
  <si>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</si>
  <si>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</si>
  <si>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</si>
  <si>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</si>
  <si>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</si>
  <si>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</si>
  <si>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</si>
  <si>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</si>
  <si>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</si>
  <si>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</si>
  <si>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</si>
  <si>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</si>
  <si>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</si>
  <si>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</si>
  <si>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</si>
  <si>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</si>
  <si>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</si>
  <si>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</si>
  <si>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</si>
  <si>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</si>
  <si>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</si>
  <si>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</si>
  <si>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</si>
  <si>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</si>
  <si>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</si>
  <si>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</si>
  <si>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</si>
  <si>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</si>
  <si>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</si>
  <si>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</si>
  <si>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</si>
  <si>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</si>
  <si>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</si>
  <si>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</si>
  <si>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</si>
  <si>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</si>
  <si>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</si>
  <si>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</si>
  <si>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</si>
  <si>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</si>
  <si>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</si>
  <si>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</si>
  <si>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</si>
  <si>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</si>
  <si>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</si>
  <si>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</si>
  <si>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</si>
  <si>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</si>
  <si>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</si>
  <si>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</si>
  <si>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</si>
  <si>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</si>
  <si>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</si>
  <si>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</si>
  <si>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</si>
  <si>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</si>
  <si>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</si>
  <si>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</si>
  <si>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</si>
  <si>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</si>
  <si>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</si>
  <si>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</si>
  <si>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</si>
  <si>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</si>
  <si>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</si>
  <si>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</si>
  <si>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</si>
  <si>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</si>
  <si>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</si>
  <si>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</si>
  <si>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</si>
  <si>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</si>
  <si>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</si>
  <si>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</si>
  <si>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</si>
  <si>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</si>
  <si>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</si>
  <si>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</si>
  <si>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</si>
  <si>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</si>
  <si>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</si>
  <si>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</si>
  <si>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</si>
  <si>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</si>
  <si>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</si>
  <si>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</si>
  <si>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</si>
  <si>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</si>
  <si>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</si>
  <si>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</si>
  <si>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</si>
  <si>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</si>
  <si>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</si>
  <si>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</si>
  <si>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</si>
  <si>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</si>
  <si>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</si>
  <si>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</si>
  <si>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</si>
  <si>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</si>
  <si>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</si>
  <si>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</si>
  <si>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</si>
  <si>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</si>
  <si>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</si>
  <si>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</si>
  <si>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</si>
  <si>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</si>
  <si>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</si>
  <si>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</si>
  <si>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</si>
  <si>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</si>
  <si>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</si>
  <si>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</si>
  <si>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</si>
  <si>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</si>
  <si>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</si>
  <si>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</si>
  <si>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</si>
  <si>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</si>
  <si>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</si>
  <si>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</si>
  <si>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</si>
  <si>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</si>
  <si>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</si>
  <si>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</si>
  <si>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</si>
  <si>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</si>
  <si>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</si>
  <si>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</si>
  <si>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</si>
  <si>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</si>
  <si>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</si>
  <si>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</si>
  <si>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</si>
  <si>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</si>
  <si>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</si>
  <si>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</si>
  <si>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</si>
  <si>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</si>
  <si>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</si>
  <si>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</si>
  <si>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</si>
  <si>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</si>
  <si>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</si>
  <si>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</si>
  <si>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</si>
  <si>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</si>
  <si>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</si>
  <si>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</si>
  <si>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</si>
  <si>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</si>
  <si>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</si>
  <si>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</si>
  <si>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</si>
  <si>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</si>
  <si>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</si>
  <si>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</si>
  <si>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</si>
  <si>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</si>
  <si>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</si>
  <si>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</si>
  <si>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</si>
  <si>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</si>
  <si>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</si>
  <si>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</si>
  <si>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</si>
  <si>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</si>
  <si>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</si>
  <si>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</si>
  <si>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</si>
  <si>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</si>
  <si>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</si>
  <si>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</si>
  <si>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</si>
  <si>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</si>
  <si>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</si>
  <si>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</si>
  <si>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</si>
  <si>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</si>
  <si>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</si>
  <si>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</si>
  <si>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</si>
  <si>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</si>
  <si>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</si>
  <si>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</si>
  <si>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</si>
  <si>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</si>
  <si>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</si>
  <si>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</si>
  <si>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</si>
  <si>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</si>
  <si>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</si>
  <si>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</si>
  <si>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</si>
  <si>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</si>
  <si>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</si>
  <si>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</si>
  <si>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</si>
  <si>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</si>
  <si>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</si>
  <si>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</si>
  <si>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</si>
  <si>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</si>
  <si>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</si>
  <si>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</si>
  <si>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</si>
  <si>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</si>
  <si>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</si>
  <si>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</si>
  <si>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</si>
  <si>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</si>
  <si>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</si>
  <si>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</si>
  <si>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</si>
  <si>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</si>
  <si>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</si>
  <si>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</si>
  <si>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</si>
  <si>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</si>
  <si>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</si>
  <si>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</si>
  <si>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</si>
  <si>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</si>
  <si>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</si>
  <si>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</si>
  <si>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</si>
  <si>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</si>
  <si>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</si>
  <si>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</si>
  <si>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</si>
  <si>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</si>
  <si>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</si>
  <si>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</si>
  <si>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</si>
  <si>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</si>
  <si>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</si>
  <si>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</si>
  <si>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</si>
  <si>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</si>
  <si>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</si>
  <si>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</si>
  <si>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</si>
  <si>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</si>
  <si>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</si>
  <si>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</si>
  <si>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</si>
  <si>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</si>
  <si>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</si>
  <si>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</si>
  <si>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</si>
  <si>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</si>
  <si>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</si>
  <si>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</si>
  <si>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</si>
  <si>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</si>
  <si>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</si>
  <si>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</si>
  <si>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</si>
  <si>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</si>
  <si>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</si>
  <si>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</si>
  <si>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</si>
  <si>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</si>
  <si>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</si>
  <si>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</si>
  <si>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</si>
  <si>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</si>
  <si>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</si>
  <si>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</si>
  <si>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</si>
  <si>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</si>
  <si>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</si>
  <si>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</si>
  <si>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</si>
  <si>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</si>
  <si>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</si>
  <si>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</si>
  <si>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</si>
  <si>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</si>
  <si>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</si>
  <si>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</si>
  <si>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</si>
  <si>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</si>
  <si>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</si>
  <si>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</si>
  <si>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</si>
  <si>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</si>
  <si>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</si>
  <si>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</si>
  <si>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</si>
  <si>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</si>
  <si>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</si>
  <si>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</si>
  <si>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</si>
  <si>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</si>
  <si>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</si>
  <si>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</si>
  <si>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</si>
  <si>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</si>
  <si>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</si>
  <si>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</si>
  <si>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</si>
  <si>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</si>
  <si>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</si>
  <si>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</si>
  <si>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</si>
  <si>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</si>
  <si>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</si>
  <si>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</si>
  <si>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</si>
  <si>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</si>
  <si>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</si>
  <si>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</si>
  <si>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</si>
  <si>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</si>
  <si>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</si>
  <si>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</si>
  <si>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</si>
  <si>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</si>
  <si>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</si>
  <si>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</si>
  <si>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</si>
  <si>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</si>
  <si>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</si>
  <si>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</si>
  <si>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</si>
  <si>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</si>
  <si>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</si>
  <si>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</si>
  <si>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</si>
  <si>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</si>
  <si>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</si>
  <si>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</si>
  <si>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</si>
  <si>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</si>
  <si>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</si>
  <si>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</si>
  <si>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</si>
  <si>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</si>
  <si>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</si>
  <si>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</si>
  <si>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</si>
  <si>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</si>
  <si>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</si>
  <si>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</si>
  <si>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</si>
  <si>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</si>
  <si>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</si>
  <si>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</si>
  <si>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</si>
  <si>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</si>
  <si>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</si>
  <si>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</si>
  <si>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</si>
  <si>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</si>
  <si>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</si>
  <si>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</si>
  <si>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</si>
  <si>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</si>
  <si>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</si>
  <si>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</si>
  <si>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</si>
  <si>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</si>
  <si>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</si>
  <si>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</si>
  <si>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</si>
  <si>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</si>
  <si>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</si>
  <si>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</si>
  <si>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</si>
  <si>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</si>
  <si>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</si>
  <si>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</si>
  <si>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</si>
  <si>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</si>
  <si>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</si>
  <si>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</si>
  <si>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</si>
  <si>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</si>
  <si>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</si>
  <si>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</si>
  <si>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</si>
  <si>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</si>
  <si>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</si>
  <si>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</si>
  <si>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</si>
  <si>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</si>
  <si>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</si>
  <si>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</si>
  <si>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</si>
  <si>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</si>
  <si>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</si>
  <si>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</si>
  <si>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</si>
  <si>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</si>
  <si>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</si>
  <si>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</si>
  <si>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</si>
  <si>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</si>
  <si>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</si>
  <si>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</si>
  <si>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</si>
  <si>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</si>
  <si>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</si>
  <si>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</si>
  <si>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</si>
  <si>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</si>
  <si>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</si>
  <si>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</si>
  <si>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</si>
  <si>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</si>
  <si>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</si>
  <si>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</si>
  <si>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</si>
  <si>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</si>
  <si>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</si>
  <si>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</si>
  <si>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</si>
  <si>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</si>
  <si>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</si>
  <si>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</si>
  <si>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</si>
  <si>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</si>
  <si>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</si>
  <si>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</si>
  <si>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</si>
  <si>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</si>
  <si>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</si>
  <si>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</si>
  <si>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</si>
  <si>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</si>
  <si>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</si>
  <si>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</si>
  <si>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</si>
  <si>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</si>
  <si>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</si>
  <si>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</si>
  <si>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</si>
  <si>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</si>
  <si>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</si>
  <si>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</si>
  <si>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</si>
  <si>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</si>
  <si>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</si>
  <si>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</si>
  <si>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</si>
  <si>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</si>
  <si>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</si>
  <si>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</si>
  <si>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</si>
  <si>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</si>
  <si>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</si>
  <si>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</si>
  <si>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</si>
  <si>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</si>
  <si>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</si>
  <si>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</si>
  <si>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</si>
  <si>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</si>
  <si>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</si>
  <si>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</si>
  <si>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</si>
  <si>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</si>
  <si>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</si>
  <si>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</si>
  <si>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</si>
  <si>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</si>
  <si>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</si>
  <si>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</si>
  <si>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</si>
  <si>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</si>
  <si>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</si>
  <si>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</si>
  <si>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</si>
  <si>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</si>
  <si>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</si>
  <si>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</si>
  <si>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</si>
  <si>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</si>
  <si>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</si>
  <si>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</si>
  <si>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</si>
  <si>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</si>
  <si>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</si>
  <si>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</si>
  <si>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</si>
  <si>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</si>
  <si>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</si>
  <si>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</si>
  <si>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</si>
  <si>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</si>
  <si>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</si>
  <si>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</si>
  <si>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</si>
  <si>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</si>
  <si>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</si>
  <si>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</si>
  <si>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</si>
  <si>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</si>
  <si>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</si>
  <si>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</si>
  <si>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</si>
  <si>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</si>
  <si>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</si>
  <si>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</si>
  <si>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</si>
  <si>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</si>
  <si>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</si>
  <si>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</si>
  <si>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</si>
  <si>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</si>
  <si>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</si>
  <si>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</si>
  <si>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</si>
  <si>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</si>
  <si>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</si>
  <si>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</si>
  <si>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</si>
  <si>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</si>
  <si>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</si>
  <si>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</si>
  <si>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</si>
  <si>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</si>
  <si>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</si>
  <si>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</si>
  <si>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</si>
  <si>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</si>
  <si>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</si>
  <si>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</si>
  <si>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</si>
  <si>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</si>
  <si>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</si>
  <si>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</si>
  <si>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</si>
  <si>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</si>
  <si>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</si>
  <si>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</si>
  <si>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</si>
  <si>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</si>
  <si>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</si>
  <si>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</si>
  <si>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</si>
  <si>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</si>
  <si>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</si>
  <si>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</si>
  <si>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</si>
  <si>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</si>
  <si>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</si>
  <si>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</si>
  <si>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</si>
  <si>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</si>
  <si>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</si>
  <si>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</si>
  <si>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</si>
  <si>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</si>
  <si>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</si>
  <si>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</si>
  <si>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</si>
  <si>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</si>
  <si>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</si>
  <si>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</si>
  <si>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</si>
  <si>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</si>
  <si>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</si>
  <si>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</si>
  <si>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</si>
  <si>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</si>
  <si>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</si>
  <si>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</si>
  <si>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</si>
  <si>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</si>
  <si>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</si>
  <si>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</si>
  <si>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</si>
  <si>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</si>
  <si>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</si>
  <si>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</si>
  <si>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</si>
  <si>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</si>
  <si>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</si>
  <si>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</si>
  <si>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</si>
  <si>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</si>
  <si>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</si>
  <si>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</si>
  <si>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</si>
  <si>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</si>
  <si>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</si>
  <si>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</si>
  <si>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</si>
  <si>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</si>
  <si>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</si>
  <si>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</si>
  <si>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</si>
  <si>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</si>
  <si>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</si>
  <si>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</si>
  <si>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</si>
  <si>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</si>
  <si>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</si>
  <si>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</si>
  <si>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</si>
  <si>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</si>
  <si>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</si>
  <si>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</si>
  <si>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</si>
  <si>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</si>
  <si>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</si>
  <si>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</si>
  <si>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</si>
  <si>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</si>
  <si>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</si>
  <si>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</si>
  <si>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</si>
  <si>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</si>
  <si>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</si>
  <si>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</si>
  <si>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</si>
  <si>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</si>
  <si>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</si>
  <si>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</si>
  <si>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</si>
  <si>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</si>
  <si>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</si>
  <si>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</si>
  <si>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</si>
  <si>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</si>
  <si>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</si>
  <si>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</si>
  <si>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</si>
  <si>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</si>
  <si>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</si>
  <si>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</si>
  <si>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</si>
  <si>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</si>
  <si>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</si>
  <si>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</si>
  <si>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</si>
  <si>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</si>
  <si>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</si>
  <si>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</si>
  <si>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</si>
  <si>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</si>
  <si>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</si>
  <si>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</si>
  <si>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</si>
  <si>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</si>
  <si>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</si>
  <si>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</si>
  <si>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</si>
  <si>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</si>
  <si>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</si>
  <si>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</si>
  <si>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</si>
  <si>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</si>
  <si>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</si>
  <si>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</si>
  <si>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</si>
  <si>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</si>
  <si>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</si>
  <si>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</si>
  <si>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</si>
  <si>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</si>
  <si>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</si>
  <si>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</si>
  <si>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</si>
  <si>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</si>
  <si>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</si>
  <si>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</si>
  <si>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</si>
  <si>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</si>
  <si>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</si>
  <si>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</si>
  <si>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</si>
  <si>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</si>
  <si>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</si>
  <si>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</si>
  <si>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</si>
  <si>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</si>
  <si>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</si>
  <si>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</si>
  <si>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</si>
  <si>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</si>
  <si>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</si>
  <si>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</si>
  <si>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</si>
  <si>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</si>
  <si>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</si>
  <si>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</si>
  <si>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</si>
  <si>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</si>
  <si>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</si>
  <si>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</si>
  <si>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</si>
  <si>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</si>
  <si>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</si>
  <si>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</si>
  <si>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</si>
  <si>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</si>
  <si>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</si>
  <si>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</si>
  <si>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</si>
  <si>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</si>
  <si>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</si>
  <si>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</si>
  <si>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</si>
  <si>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</si>
  <si>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</si>
  <si>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</si>
  <si>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</si>
  <si>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</si>
  <si>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</si>
  <si>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</si>
  <si>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</si>
  <si>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</si>
  <si>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</si>
  <si>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</si>
  <si>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</si>
  <si>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</si>
  <si>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</si>
  <si>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</si>
  <si>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</si>
  <si>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</si>
  <si>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</si>
  <si>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</si>
  <si>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</si>
  <si>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</si>
  <si>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</si>
  <si>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</si>
  <si>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</si>
  <si>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</si>
  <si>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</si>
  <si>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</si>
  <si>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</si>
  <si>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</si>
  <si>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</si>
  <si>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</si>
  <si>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</si>
  <si>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</si>
  <si>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</si>
  <si>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</si>
  <si>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</si>
  <si>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</si>
  <si>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</si>
  <si>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</si>
  <si>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</si>
  <si>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</si>
  <si>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</si>
  <si>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</si>
  <si>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</si>
  <si>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</si>
  <si>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</si>
  <si>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</si>
  <si>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</si>
  <si>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</si>
  <si>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</si>
  <si>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New Castle School District</t>
  </si>
  <si>
    <t>Increase in inventory</t>
  </si>
  <si>
    <t>2/15/16</t>
  </si>
  <si>
    <t>8/15/25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</si>
</sst>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30" zoomScaleNormal="130" workbookViewId="0">
      <pane xSplit="5" ySplit="3" topLeftCell="F201" activePane="bottomRight" state="frozen"/>
      <selection pane="topRight" activeCell="F1" sqref="F1"/>
      <selection pane="bottomLeft" activeCell="A4" sqref="A4"/>
      <selection pane="bottomRight" activeCell="H218" sqref="H21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381</v>
      </c>
      <c r="C2" s="21">
        <v>381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176501.69</v>
      </c>
      <c r="G9" s="18">
        <v>45.49</v>
      </c>
      <c r="H9" s="18"/>
      <c r="I9" s="18">
        <v>30840.400000000001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168520.5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4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4759.4799999999996</v>
      </c>
      <c r="G12" s="18">
        <v>313.08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97.98</v>
      </c>
      <c r="G13" s="18">
        <v>122.15</v>
      </c>
      <c r="H13" s="18">
        <v>4704.4799999999996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1338.46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181359.15000000002</v>
      </c>
      <c r="G19" s="41">
        <f>SUM(G9:G18)</f>
        <v>1819.18</v>
      </c>
      <c r="H19" s="41">
        <f>SUM(H9:H18)</f>
        <v>4704.4799999999996</v>
      </c>
      <c r="I19" s="41">
        <f>SUM(I9:I18)</f>
        <v>30840.400000000001</v>
      </c>
      <c r="J19" s="41">
        <f>SUM(J9:J18)</f>
        <v>168520.5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313.08</v>
      </c>
      <c r="G22" s="18"/>
      <c r="H22" s="18">
        <v>4704.4799999999996</v>
      </c>
      <c r="I22" s="18">
        <v>55</v>
      </c>
      <c r="J22" s="67">
        <f>SUM(I448)</f>
        <v>55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195.92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7133.2</v>
      </c>
      <c r="G24" s="18">
        <v>435.23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24263.87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31906.07</v>
      </c>
      <c r="G32" s="41">
        <f>SUM(G22:G31)</f>
        <v>435.23</v>
      </c>
      <c r="H32" s="41">
        <f>SUM(H22:H31)</f>
        <v>4704.4799999999996</v>
      </c>
      <c r="I32" s="41">
        <f>SUM(I22:I31)</f>
        <v>55</v>
      </c>
      <c r="J32" s="41">
        <f>SUM(J22:J31)</f>
        <v>55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1338.46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45.49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30785.4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168465.5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119453.08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149453.08000000002</v>
      </c>
      <c r="G51" s="41">
        <f>SUM(G35:G50)</f>
        <v>1383.95</v>
      </c>
      <c r="H51" s="41">
        <f>SUM(H35:H50)</f>
        <v>0</v>
      </c>
      <c r="I51" s="41">
        <f>SUM(I35:I50)</f>
        <v>30785.4</v>
      </c>
      <c r="J51" s="41">
        <f>SUM(J35:J50)</f>
        <v>168465.5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181359.15000000002</v>
      </c>
      <c r="G52" s="41">
        <f>G51+G32</f>
        <v>1819.18</v>
      </c>
      <c r="H52" s="41">
        <f>H51+H32</f>
        <v>4704.4799999999996</v>
      </c>
      <c r="I52" s="41">
        <f>I51+I32</f>
        <v>30840.400000000001</v>
      </c>
      <c r="J52" s="41">
        <f>J51+J32</f>
        <v>168520.5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371898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371898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2808.96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2808.96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>
        <v>20.81</v>
      </c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7820.79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2000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502.07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2502.0700000000002</v>
      </c>
      <c r="G111" s="41">
        <f>SUM(G96:G110)</f>
        <v>7820.79</v>
      </c>
      <c r="H111" s="41">
        <f>SUM(H96:H110)</f>
        <v>0</v>
      </c>
      <c r="I111" s="41">
        <f>SUM(I96:I110)</f>
        <v>20.81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377209.03</v>
      </c>
      <c r="G112" s="41">
        <f>G60+G111</f>
        <v>7820.79</v>
      </c>
      <c r="H112" s="41">
        <f>H60+H79+H94+H111</f>
        <v>0</v>
      </c>
      <c r="I112" s="41">
        <f>I60+I111</f>
        <v>20.81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1565411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1565411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1565411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17454.13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922.6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4286.29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4286.29</v>
      </c>
      <c r="G162" s="41">
        <f>SUM(G150:G161)</f>
        <v>922.6</v>
      </c>
      <c r="H162" s="41">
        <f>SUM(H150:H161)</f>
        <v>17454.13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4286.29</v>
      </c>
      <c r="G169" s="41">
        <f>G147+G162+SUM(G163:G168)</f>
        <v>922.6</v>
      </c>
      <c r="H169" s="41">
        <f>H147+H162+SUM(H163:H168)</f>
        <v>17454.13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946460.25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946460.25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8713.68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8713.68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8713.68</v>
      </c>
      <c r="H192" s="41">
        <f>+H183+SUM(H188:H191)</f>
        <v>0</v>
      </c>
      <c r="I192" s="41">
        <f>I177+I183+SUM(I188:I191)</f>
        <v>946460.25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1946906.32</v>
      </c>
      <c r="G193" s="47">
        <f>G112+G140+G169+G192</f>
        <v>17457.07</v>
      </c>
      <c r="H193" s="47">
        <f>H112+H140+H169+H192</f>
        <v>17454.13</v>
      </c>
      <c r="I193" s="47">
        <f>I112+I140+I169+I192</f>
        <v>946481.06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567393.92000000004</v>
      </c>
      <c r="G197" s="18">
        <v>217818.77</v>
      </c>
      <c r="H197" s="18">
        <v>3268.45</v>
      </c>
      <c r="I197" s="18">
        <v>10129.57</v>
      </c>
      <c r="J197" s="18">
        <v>2349</v>
      </c>
      <c r="K197" s="18"/>
      <c r="L197" s="19">
        <f>SUM(F197:K197)</f>
        <v>800959.71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44668.94</v>
      </c>
      <c r="G198" s="18">
        <v>16911.93</v>
      </c>
      <c r="H198" s="18">
        <v>6126.5</v>
      </c>
      <c r="I198" s="18">
        <v>1440.75</v>
      </c>
      <c r="J198" s="18"/>
      <c r="K198" s="18">
        <v>425</v>
      </c>
      <c r="L198" s="19">
        <f>SUM(F198:K198)</f>
        <v>69573.119999999995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1381.2</v>
      </c>
      <c r="G200" s="18">
        <v>107.12</v>
      </c>
      <c r="H200" s="18">
        <v>3101.5</v>
      </c>
      <c r="I200" s="18">
        <v>23.25</v>
      </c>
      <c r="J200" s="18"/>
      <c r="K200" s="18"/>
      <c r="L200" s="19">
        <f>SUM(F200:K200)</f>
        <v>4613.07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42864.67</v>
      </c>
      <c r="G202" s="18">
        <v>16228.82</v>
      </c>
      <c r="H202" s="18">
        <v>7458</v>
      </c>
      <c r="I202" s="18">
        <v>166.88</v>
      </c>
      <c r="J202" s="18"/>
      <c r="K202" s="18"/>
      <c r="L202" s="19">
        <f t="shared" ref="L202:L208" si="0">SUM(F202:K202)</f>
        <v>66718.37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>
        <v>6000</v>
      </c>
      <c r="H203" s="18">
        <v>9209.6299999999992</v>
      </c>
      <c r="I203" s="18">
        <v>2218.0100000000002</v>
      </c>
      <c r="J203" s="18">
        <v>5195</v>
      </c>
      <c r="K203" s="18"/>
      <c r="L203" s="19">
        <f t="shared" si="0"/>
        <v>22622.639999999999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5158.91</v>
      </c>
      <c r="G204" s="18">
        <v>400.11</v>
      </c>
      <c r="H204" s="18">
        <v>103310.17</v>
      </c>
      <c r="I204" s="18">
        <v>79.819999999999993</v>
      </c>
      <c r="J204" s="18"/>
      <c r="K204" s="18">
        <v>2588.69</v>
      </c>
      <c r="L204" s="19">
        <f t="shared" si="0"/>
        <v>111537.70000000001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19357.95</v>
      </c>
      <c r="G205" s="18">
        <v>1501.34</v>
      </c>
      <c r="H205" s="18">
        <v>2790.02</v>
      </c>
      <c r="I205" s="18">
        <v>483.82</v>
      </c>
      <c r="J205" s="18"/>
      <c r="K205" s="18"/>
      <c r="L205" s="19">
        <f t="shared" si="0"/>
        <v>24133.13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1134.19</v>
      </c>
      <c r="L206" s="19">
        <f t="shared" si="0"/>
        <v>1134.19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29479.96</v>
      </c>
      <c r="G207" s="18">
        <v>2286.37</v>
      </c>
      <c r="H207" s="18">
        <v>12108.54</v>
      </c>
      <c r="I207" s="18">
        <v>19535.32</v>
      </c>
      <c r="J207" s="18">
        <v>278.99</v>
      </c>
      <c r="K207" s="18"/>
      <c r="L207" s="19">
        <f t="shared" si="0"/>
        <v>63689.179999999993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3956.26</v>
      </c>
      <c r="I208" s="18"/>
      <c r="J208" s="18"/>
      <c r="K208" s="18"/>
      <c r="L208" s="19">
        <f t="shared" si="0"/>
        <v>3956.26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800</v>
      </c>
      <c r="G209" s="18">
        <v>386.05</v>
      </c>
      <c r="H209" s="18">
        <v>995.65</v>
      </c>
      <c r="I209" s="18">
        <v>90.99</v>
      </c>
      <c r="J209" s="18"/>
      <c r="K209" s="18"/>
      <c r="L209" s="19">
        <f>SUM(F209:K209)</f>
        <v>2272.6899999999996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711105.55</v>
      </c>
      <c r="G211" s="41">
        <f t="shared" si="1"/>
        <v>261640.50999999995</v>
      </c>
      <c r="H211" s="41">
        <f t="shared" si="1"/>
        <v>152324.72</v>
      </c>
      <c r="I211" s="41">
        <f t="shared" si="1"/>
        <v>34168.409999999996</v>
      </c>
      <c r="J211" s="41">
        <f t="shared" si="1"/>
        <v>7822.99</v>
      </c>
      <c r="K211" s="41">
        <f t="shared" si="1"/>
        <v>4147.88</v>
      </c>
      <c r="L211" s="41">
        <f t="shared" si="1"/>
        <v>1171210.0599999996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158141.01999999999</v>
      </c>
      <c r="I215" s="18"/>
      <c r="J215" s="18"/>
      <c r="K215" s="18"/>
      <c r="L215" s="19">
        <f>SUM(F215:K215)</f>
        <v>158141.01999999999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675</v>
      </c>
      <c r="I216" s="18"/>
      <c r="J216" s="18"/>
      <c r="K216" s="18"/>
      <c r="L216" s="19">
        <f>SUM(F216:K216)</f>
        <v>675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644.86</v>
      </c>
      <c r="G222" s="18">
        <v>50.01</v>
      </c>
      <c r="H222" s="18">
        <v>12913.77</v>
      </c>
      <c r="I222" s="18">
        <v>9.98</v>
      </c>
      <c r="J222" s="18"/>
      <c r="K222" s="18">
        <v>323.58999999999997</v>
      </c>
      <c r="L222" s="19">
        <f t="shared" si="2"/>
        <v>13942.210000000001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16332</v>
      </c>
      <c r="I226" s="18"/>
      <c r="J226" s="18"/>
      <c r="K226" s="18"/>
      <c r="L226" s="19">
        <f t="shared" si="2"/>
        <v>16332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644.86</v>
      </c>
      <c r="G229" s="41">
        <f>SUM(G215:G228)</f>
        <v>50.01</v>
      </c>
      <c r="H229" s="41">
        <f>SUM(H215:H228)</f>
        <v>188061.78999999998</v>
      </c>
      <c r="I229" s="41">
        <f>SUM(I215:I228)</f>
        <v>9.98</v>
      </c>
      <c r="J229" s="41">
        <f>SUM(J215:J228)</f>
        <v>0</v>
      </c>
      <c r="K229" s="41">
        <f t="shared" si="3"/>
        <v>323.58999999999997</v>
      </c>
      <c r="L229" s="41">
        <f t="shared" si="3"/>
        <v>189090.22999999998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497548.01</v>
      </c>
      <c r="I233" s="18"/>
      <c r="J233" s="18"/>
      <c r="K233" s="18"/>
      <c r="L233" s="19">
        <f>SUM(F233:K233)</f>
        <v>497548.01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7839.8</v>
      </c>
      <c r="G234" s="18">
        <v>608.03</v>
      </c>
      <c r="H234" s="18">
        <v>9646.3799999999992</v>
      </c>
      <c r="I234" s="18"/>
      <c r="J234" s="18"/>
      <c r="K234" s="18"/>
      <c r="L234" s="19">
        <f>SUM(F234:K234)</f>
        <v>18094.21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644.86</v>
      </c>
      <c r="G240" s="18">
        <v>50.01</v>
      </c>
      <c r="H240" s="18">
        <v>12913.77</v>
      </c>
      <c r="I240" s="18">
        <v>9.98</v>
      </c>
      <c r="J240" s="18"/>
      <c r="K240" s="18">
        <v>323.58999999999997</v>
      </c>
      <c r="L240" s="19">
        <f t="shared" si="4"/>
        <v>13942.210000000001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14532</v>
      </c>
      <c r="I244" s="18"/>
      <c r="J244" s="18"/>
      <c r="K244" s="18"/>
      <c r="L244" s="19">
        <f t="shared" si="4"/>
        <v>14532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8484.66</v>
      </c>
      <c r="G247" s="41">
        <f t="shared" si="5"/>
        <v>658.04</v>
      </c>
      <c r="H247" s="41">
        <f t="shared" si="5"/>
        <v>534640.16</v>
      </c>
      <c r="I247" s="41">
        <f t="shared" si="5"/>
        <v>9.98</v>
      </c>
      <c r="J247" s="41">
        <f t="shared" si="5"/>
        <v>0</v>
      </c>
      <c r="K247" s="41">
        <f t="shared" si="5"/>
        <v>323.58999999999997</v>
      </c>
      <c r="L247" s="41">
        <f t="shared" si="5"/>
        <v>544116.43000000005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160</v>
      </c>
      <c r="I255" s="18"/>
      <c r="J255" s="18"/>
      <c r="K255" s="18"/>
      <c r="L255" s="19">
        <f t="shared" si="6"/>
        <v>160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160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160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720235.07000000007</v>
      </c>
      <c r="G257" s="41">
        <f t="shared" si="8"/>
        <v>262348.55999999994</v>
      </c>
      <c r="H257" s="41">
        <f t="shared" si="8"/>
        <v>875186.67</v>
      </c>
      <c r="I257" s="41">
        <f t="shared" si="8"/>
        <v>34188.370000000003</v>
      </c>
      <c r="J257" s="41">
        <f t="shared" si="8"/>
        <v>7822.99</v>
      </c>
      <c r="K257" s="41">
        <f t="shared" si="8"/>
        <v>4795.0600000000004</v>
      </c>
      <c r="L257" s="41">
        <f t="shared" si="8"/>
        <v>1904576.7199999997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10112.58</v>
      </c>
      <c r="L261" s="19">
        <f>SUM(F261:K261)</f>
        <v>10112.58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8713.68</v>
      </c>
      <c r="L263" s="19">
        <f>SUM(F263:K263)</f>
        <v>8713.68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18826.260000000002</v>
      </c>
      <c r="L270" s="41">
        <f t="shared" si="9"/>
        <v>18826.260000000002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720235.07000000007</v>
      </c>
      <c r="G271" s="42">
        <f t="shared" si="11"/>
        <v>262348.55999999994</v>
      </c>
      <c r="H271" s="42">
        <f t="shared" si="11"/>
        <v>875186.67</v>
      </c>
      <c r="I271" s="42">
        <f t="shared" si="11"/>
        <v>34188.370000000003</v>
      </c>
      <c r="J271" s="42">
        <f t="shared" si="11"/>
        <v>7822.99</v>
      </c>
      <c r="K271" s="42">
        <f t="shared" si="11"/>
        <v>23621.320000000003</v>
      </c>
      <c r="L271" s="42">
        <f t="shared" si="11"/>
        <v>1923402.9799999997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120</v>
      </c>
      <c r="G276" s="18">
        <v>1515.25</v>
      </c>
      <c r="H276" s="18"/>
      <c r="I276" s="18">
        <v>5250.95</v>
      </c>
      <c r="J276" s="18"/>
      <c r="K276" s="18"/>
      <c r="L276" s="19">
        <f>SUM(F276:K276)</f>
        <v>6886.2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>
        <v>6465.13</v>
      </c>
      <c r="I279" s="18"/>
      <c r="J279" s="18"/>
      <c r="K279" s="18"/>
      <c r="L279" s="19">
        <f>SUM(F279:K279)</f>
        <v>6465.13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320</v>
      </c>
      <c r="G282" s="18">
        <v>2774.48</v>
      </c>
      <c r="H282" s="18"/>
      <c r="I282" s="18"/>
      <c r="J282" s="18">
        <v>758</v>
      </c>
      <c r="K282" s="18"/>
      <c r="L282" s="19">
        <f t="shared" si="12"/>
        <v>3852.48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250.32</v>
      </c>
      <c r="L285" s="19">
        <f t="shared" si="12"/>
        <v>250.32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440</v>
      </c>
      <c r="G290" s="42">
        <f t="shared" si="13"/>
        <v>4289.7299999999996</v>
      </c>
      <c r="H290" s="42">
        <f t="shared" si="13"/>
        <v>6465.13</v>
      </c>
      <c r="I290" s="42">
        <f t="shared" si="13"/>
        <v>5250.95</v>
      </c>
      <c r="J290" s="42">
        <f t="shared" si="13"/>
        <v>758</v>
      </c>
      <c r="K290" s="42">
        <f t="shared" si="13"/>
        <v>250.32</v>
      </c>
      <c r="L290" s="41">
        <f t="shared" si="13"/>
        <v>17454.13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440</v>
      </c>
      <c r="G338" s="41">
        <f t="shared" si="20"/>
        <v>4289.7299999999996</v>
      </c>
      <c r="H338" s="41">
        <f t="shared" si="20"/>
        <v>6465.13</v>
      </c>
      <c r="I338" s="41">
        <f t="shared" si="20"/>
        <v>5250.95</v>
      </c>
      <c r="J338" s="41">
        <f t="shared" si="20"/>
        <v>758</v>
      </c>
      <c r="K338" s="41">
        <f t="shared" si="20"/>
        <v>250.32</v>
      </c>
      <c r="L338" s="41">
        <f t="shared" si="20"/>
        <v>17454.13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440</v>
      </c>
      <c r="G352" s="41">
        <f>G338</f>
        <v>4289.7299999999996</v>
      </c>
      <c r="H352" s="41">
        <f>H338</f>
        <v>6465.13</v>
      </c>
      <c r="I352" s="41">
        <f>I338</f>
        <v>5250.95</v>
      </c>
      <c r="J352" s="41">
        <f>J338</f>
        <v>758</v>
      </c>
      <c r="K352" s="47">
        <f>K338+K351</f>
        <v>250.32</v>
      </c>
      <c r="L352" s="41">
        <f>L338+L351</f>
        <v>17454.13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7588</v>
      </c>
      <c r="G358" s="18">
        <v>588.5</v>
      </c>
      <c r="H358" s="18">
        <v>316.38</v>
      </c>
      <c r="I358" s="18">
        <v>8918.7000000000007</v>
      </c>
      <c r="J358" s="18"/>
      <c r="K358" s="18"/>
      <c r="L358" s="13">
        <f>SUM(F358:K358)</f>
        <v>17411.580000000002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7588</v>
      </c>
      <c r="G362" s="47">
        <f t="shared" si="22"/>
        <v>588.5</v>
      </c>
      <c r="H362" s="47">
        <f t="shared" si="22"/>
        <v>316.38</v>
      </c>
      <c r="I362" s="47">
        <f t="shared" si="22"/>
        <v>8918.7000000000007</v>
      </c>
      <c r="J362" s="47">
        <f t="shared" si="22"/>
        <v>0</v>
      </c>
      <c r="K362" s="47">
        <f t="shared" si="22"/>
        <v>0</v>
      </c>
      <c r="L362" s="47">
        <f t="shared" si="22"/>
        <v>17411.580000000002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7397.88</v>
      </c>
      <c r="G367" s="18"/>
      <c r="H367" s="18"/>
      <c r="I367" s="56">
        <f>SUM(F367:H367)</f>
        <v>7397.88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1520.82</v>
      </c>
      <c r="G368" s="63"/>
      <c r="H368" s="63"/>
      <c r="I368" s="56">
        <f>SUM(F368:H368)</f>
        <v>1520.82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8918.7000000000007</v>
      </c>
      <c r="G369" s="47">
        <f>SUM(G367:G368)</f>
        <v>0</v>
      </c>
      <c r="H369" s="47">
        <f>SUM(H367:H368)</f>
        <v>0</v>
      </c>
      <c r="I369" s="47">
        <f>SUM(I367:I368)</f>
        <v>8918.7000000000007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7200</v>
      </c>
      <c r="I376" s="18"/>
      <c r="J376" s="18"/>
      <c r="K376" s="18"/>
      <c r="L376" s="13">
        <f t="shared" si="23"/>
        <v>7200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908495.66</v>
      </c>
      <c r="I379" s="18"/>
      <c r="J379" s="18"/>
      <c r="K379" s="18"/>
      <c r="L379" s="13">
        <f t="shared" si="23"/>
        <v>908495.66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915695.66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915695.66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>
        <v>1.93</v>
      </c>
      <c r="K422" s="18"/>
      <c r="L422" s="56">
        <f t="shared" si="29"/>
        <v>1.93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>
        <v>784.31</v>
      </c>
      <c r="K423" s="18"/>
      <c r="L423" s="56">
        <f t="shared" si="29"/>
        <v>784.31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>
        <v>223.18</v>
      </c>
      <c r="K424" s="18"/>
      <c r="L424" s="56">
        <f t="shared" si="29"/>
        <v>223.18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1009.4199999999998</v>
      </c>
      <c r="K427" s="47">
        <f t="shared" si="30"/>
        <v>0</v>
      </c>
      <c r="L427" s="47">
        <f t="shared" si="30"/>
        <v>1009.4199999999998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1009.4199999999998</v>
      </c>
      <c r="K434" s="47">
        <f t="shared" si="32"/>
        <v>0</v>
      </c>
      <c r="L434" s="47">
        <f t="shared" si="32"/>
        <v>1009.4199999999998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168520.5</v>
      </c>
      <c r="H440" s="18"/>
      <c r="I440" s="56">
        <f t="shared" si="33"/>
        <v>168520.5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168520.5</v>
      </c>
      <c r="H446" s="13">
        <f>SUM(H439:H445)</f>
        <v>0</v>
      </c>
      <c r="I446" s="13">
        <f>SUM(I439:I445)</f>
        <v>168520.5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55</v>
      </c>
      <c r="H448" s="18"/>
      <c r="I448" s="56">
        <f>SUM(F448:H448)</f>
        <v>55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55</v>
      </c>
      <c r="H452" s="72">
        <f>SUM(H448:H451)</f>
        <v>0</v>
      </c>
      <c r="I452" s="72">
        <f>SUM(I448:I451)</f>
        <v>55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>
        <v>168465.5</v>
      </c>
      <c r="H456" s="18"/>
      <c r="I456" s="56">
        <f t="shared" si="34"/>
        <v>168465.5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168465.5</v>
      </c>
      <c r="H460" s="83">
        <f>SUM(H454:H459)</f>
        <v>0</v>
      </c>
      <c r="I460" s="83">
        <f>SUM(I454:I459)</f>
        <v>168465.5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168520.5</v>
      </c>
      <c r="H461" s="42">
        <f>H452+H460</f>
        <v>0</v>
      </c>
      <c r="I461" s="42">
        <f>I452+I460</f>
        <v>168520.5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125949.74</v>
      </c>
      <c r="G465" s="18"/>
      <c r="H465" s="18"/>
      <c r="I465" s="18"/>
      <c r="J465" s="18">
        <v>169474.92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1946906.32</v>
      </c>
      <c r="G468" s="18">
        <v>17457.07</v>
      </c>
      <c r="H468" s="18">
        <v>17454.13</v>
      </c>
      <c r="I468" s="18">
        <v>946481.06</v>
      </c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1338.46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1946906.32</v>
      </c>
      <c r="G470" s="53">
        <f>SUM(G468:G469)</f>
        <v>18795.53</v>
      </c>
      <c r="H470" s="53">
        <f>SUM(H468:H469)</f>
        <v>17454.13</v>
      </c>
      <c r="I470" s="53">
        <f>SUM(I468:I469)</f>
        <v>946481.06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1923402.98</v>
      </c>
      <c r="G472" s="18">
        <v>17411.580000000002</v>
      </c>
      <c r="H472" s="18">
        <v>17454.13</v>
      </c>
      <c r="I472" s="18">
        <v>915695.66</v>
      </c>
      <c r="J472" s="18">
        <v>1009.42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1923402.98</v>
      </c>
      <c r="G474" s="53">
        <f>SUM(G472:G473)</f>
        <v>17411.580000000002</v>
      </c>
      <c r="H474" s="53">
        <f>SUM(H472:H473)</f>
        <v>17454.13</v>
      </c>
      <c r="I474" s="53">
        <f>SUM(I472:I473)</f>
        <v>915695.66</v>
      </c>
      <c r="J474" s="53">
        <f>SUM(J472:J473)</f>
        <v>1009.42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149453.08000000007</v>
      </c>
      <c r="G476" s="53">
        <f>(G465+G470)- G474</f>
        <v>1383.9499999999971</v>
      </c>
      <c r="H476" s="53">
        <f>(H465+H470)- H474</f>
        <v>0</v>
      </c>
      <c r="I476" s="53">
        <f>(I465+I470)- I474</f>
        <v>30785.400000000023</v>
      </c>
      <c r="J476" s="53">
        <f>(J465+J470)- J474</f>
        <v>168465.5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998000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2.4700000000000002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998000</v>
      </c>
      <c r="G495" s="18"/>
      <c r="H495" s="18"/>
      <c r="I495" s="18"/>
      <c r="J495" s="18"/>
      <c r="K495" s="53">
        <f>SUM(F495:J495)</f>
        <v>998000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998000</v>
      </c>
      <c r="G498" s="204"/>
      <c r="H498" s="204"/>
      <c r="I498" s="204"/>
      <c r="J498" s="204"/>
      <c r="K498" s="205">
        <f t="shared" si="35"/>
        <v>998000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123495.21</v>
      </c>
      <c r="G499" s="18"/>
      <c r="H499" s="18"/>
      <c r="I499" s="18"/>
      <c r="J499" s="18"/>
      <c r="K499" s="53">
        <f t="shared" si="35"/>
        <v>123495.21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1121495.21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1121495.21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98000</v>
      </c>
      <c r="G501" s="204"/>
      <c r="H501" s="204"/>
      <c r="I501" s="204"/>
      <c r="J501" s="204"/>
      <c r="K501" s="205">
        <f t="shared" si="35"/>
        <v>98000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23497.89</v>
      </c>
      <c r="G502" s="18"/>
      <c r="H502" s="18"/>
      <c r="I502" s="18"/>
      <c r="J502" s="18"/>
      <c r="K502" s="53">
        <f t="shared" si="35"/>
        <v>23497.89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121497.89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121497.89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33716.33</v>
      </c>
      <c r="G521" s="18">
        <v>12827.79</v>
      </c>
      <c r="H521" s="18">
        <v>6664.5</v>
      </c>
      <c r="I521" s="18"/>
      <c r="J521" s="18"/>
      <c r="K521" s="18"/>
      <c r="L521" s="88">
        <f>SUM(F521:K521)</f>
        <v>53208.62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675</v>
      </c>
      <c r="I522" s="18"/>
      <c r="J522" s="18"/>
      <c r="K522" s="18"/>
      <c r="L522" s="88">
        <f>SUM(F522:K522)</f>
        <v>675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5082.67</v>
      </c>
      <c r="G523" s="18">
        <v>1930.35</v>
      </c>
      <c r="H523" s="18">
        <v>9646.3799999999992</v>
      </c>
      <c r="I523" s="18"/>
      <c r="J523" s="18"/>
      <c r="K523" s="18"/>
      <c r="L523" s="88">
        <f>SUM(F523:K523)</f>
        <v>16659.400000000001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38799</v>
      </c>
      <c r="G524" s="108">
        <f t="shared" ref="G524:L524" si="36">SUM(G521:G523)</f>
        <v>14758.140000000001</v>
      </c>
      <c r="H524" s="108">
        <f t="shared" si="36"/>
        <v>16985.879999999997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70543.02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7699.8</v>
      </c>
      <c r="G526" s="18">
        <v>2915.19</v>
      </c>
      <c r="H526" s="18">
        <v>4760</v>
      </c>
      <c r="I526" s="18"/>
      <c r="J526" s="18"/>
      <c r="K526" s="18"/>
      <c r="L526" s="88">
        <f>SUM(F526:K526)</f>
        <v>15374.99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7699.8</v>
      </c>
      <c r="G529" s="89">
        <f t="shared" ref="G529:L529" si="37">SUM(G526:G528)</f>
        <v>2915.19</v>
      </c>
      <c r="H529" s="89">
        <f t="shared" si="37"/>
        <v>4760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15374.99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5242.01</v>
      </c>
      <c r="G531" s="18">
        <v>2591.8200000000002</v>
      </c>
      <c r="H531" s="18">
        <v>463.37</v>
      </c>
      <c r="I531" s="18">
        <v>167.72</v>
      </c>
      <c r="J531" s="18">
        <v>73.5</v>
      </c>
      <c r="K531" s="18">
        <v>96.27</v>
      </c>
      <c r="L531" s="88">
        <f>SUM(F531:K531)</f>
        <v>8634.69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1123.29</v>
      </c>
      <c r="G532" s="18">
        <v>555.29</v>
      </c>
      <c r="H532" s="18">
        <v>99.29</v>
      </c>
      <c r="I532" s="18">
        <v>35.94</v>
      </c>
      <c r="J532" s="18">
        <v>15.75</v>
      </c>
      <c r="K532" s="18">
        <v>20.63</v>
      </c>
      <c r="L532" s="88">
        <f>SUM(F532:K532)</f>
        <v>1850.19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1123.29</v>
      </c>
      <c r="G533" s="18">
        <v>555.29</v>
      </c>
      <c r="H533" s="18">
        <v>99.29</v>
      </c>
      <c r="I533" s="18">
        <v>35.94</v>
      </c>
      <c r="J533" s="18">
        <v>15.75</v>
      </c>
      <c r="K533" s="18">
        <v>20.63</v>
      </c>
      <c r="L533" s="88">
        <f>SUM(F533:K533)</f>
        <v>1850.19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7488.59</v>
      </c>
      <c r="G534" s="89">
        <f t="shared" ref="G534:L534" si="38">SUM(G531:G533)</f>
        <v>3702.4</v>
      </c>
      <c r="H534" s="89">
        <f t="shared" si="38"/>
        <v>661.94999999999993</v>
      </c>
      <c r="I534" s="89">
        <f t="shared" si="38"/>
        <v>239.6</v>
      </c>
      <c r="J534" s="89">
        <f t="shared" si="38"/>
        <v>105</v>
      </c>
      <c r="K534" s="89">
        <f t="shared" si="38"/>
        <v>137.53</v>
      </c>
      <c r="L534" s="89">
        <f t="shared" si="38"/>
        <v>12335.070000000002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1800</v>
      </c>
      <c r="I542" s="18"/>
      <c r="J542" s="18"/>
      <c r="K542" s="18"/>
      <c r="L542" s="88">
        <f>SUM(F542:K542)</f>
        <v>1800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1800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53987.39</v>
      </c>
      <c r="G545" s="89">
        <f t="shared" ref="G545:L545" si="41">G524+G529+G534+G539+G544</f>
        <v>21375.730000000003</v>
      </c>
      <c r="H545" s="89">
        <f t="shared" si="41"/>
        <v>24207.829999999998</v>
      </c>
      <c r="I545" s="89">
        <f t="shared" si="41"/>
        <v>239.6</v>
      </c>
      <c r="J545" s="89">
        <f t="shared" si="41"/>
        <v>105</v>
      </c>
      <c r="K545" s="89">
        <f t="shared" si="41"/>
        <v>137.53</v>
      </c>
      <c r="L545" s="89">
        <f t="shared" si="41"/>
        <v>100053.08000000002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53208.62</v>
      </c>
      <c r="G549" s="87">
        <f>L526</f>
        <v>15374.99</v>
      </c>
      <c r="H549" s="87">
        <f>L531</f>
        <v>8634.69</v>
      </c>
      <c r="I549" s="87">
        <f>L536</f>
        <v>0</v>
      </c>
      <c r="J549" s="87">
        <f>L541</f>
        <v>0</v>
      </c>
      <c r="K549" s="87">
        <f>SUM(F549:J549)</f>
        <v>77218.3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675</v>
      </c>
      <c r="G550" s="87">
        <f>L527</f>
        <v>0</v>
      </c>
      <c r="H550" s="87">
        <f>L532</f>
        <v>1850.19</v>
      </c>
      <c r="I550" s="87">
        <f>L537</f>
        <v>0</v>
      </c>
      <c r="J550" s="87">
        <f>L542</f>
        <v>1800</v>
      </c>
      <c r="K550" s="87">
        <f>SUM(F550:J550)</f>
        <v>4325.1900000000005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16659.400000000001</v>
      </c>
      <c r="G551" s="87">
        <f>L528</f>
        <v>0</v>
      </c>
      <c r="H551" s="87">
        <f>L533</f>
        <v>1850.19</v>
      </c>
      <c r="I551" s="87">
        <f>L538</f>
        <v>0</v>
      </c>
      <c r="J551" s="87">
        <f>L543</f>
        <v>0</v>
      </c>
      <c r="K551" s="87">
        <f>SUM(F551:J551)</f>
        <v>18509.59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70543.02</v>
      </c>
      <c r="G552" s="89">
        <f t="shared" si="42"/>
        <v>15374.99</v>
      </c>
      <c r="H552" s="89">
        <f t="shared" si="42"/>
        <v>12335.070000000002</v>
      </c>
      <c r="I552" s="89">
        <f t="shared" si="42"/>
        <v>0</v>
      </c>
      <c r="J552" s="89">
        <f t="shared" si="42"/>
        <v>1800</v>
      </c>
      <c r="K552" s="89">
        <f t="shared" si="42"/>
        <v>100053.08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>
        <v>1440.75</v>
      </c>
      <c r="I567" s="18"/>
      <c r="J567" s="18"/>
      <c r="K567" s="18">
        <v>425</v>
      </c>
      <c r="L567" s="88">
        <f>SUM(F567:K567)</f>
        <v>1865.75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1440.75</v>
      </c>
      <c r="I570" s="193">
        <f t="shared" si="45"/>
        <v>0</v>
      </c>
      <c r="J570" s="193">
        <f t="shared" si="45"/>
        <v>0</v>
      </c>
      <c r="K570" s="193">
        <f t="shared" si="45"/>
        <v>425</v>
      </c>
      <c r="L570" s="193">
        <f t="shared" si="45"/>
        <v>1865.75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1440.75</v>
      </c>
      <c r="I571" s="89">
        <f t="shared" si="46"/>
        <v>0</v>
      </c>
      <c r="J571" s="89">
        <f t="shared" si="46"/>
        <v>0</v>
      </c>
      <c r="K571" s="89">
        <f t="shared" si="46"/>
        <v>425</v>
      </c>
      <c r="L571" s="89">
        <f t="shared" si="46"/>
        <v>1865.75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158141.01999999999</v>
      </c>
      <c r="H575" s="18">
        <v>497548.01</v>
      </c>
      <c r="I575" s="87">
        <f>SUM(F575:H575)</f>
        <v>655689.03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675</v>
      </c>
      <c r="H579" s="18">
        <v>9646.3799999999992</v>
      </c>
      <c r="I579" s="87">
        <f t="shared" si="47"/>
        <v>10321.379999999999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>
        <v>14532</v>
      </c>
      <c r="J591" s="18">
        <v>14532</v>
      </c>
      <c r="K591" s="104">
        <f t="shared" ref="K591:K597" si="48">SUM(H591:J591)</f>
        <v>29064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2000</v>
      </c>
      <c r="I592" s="18">
        <v>1800</v>
      </c>
      <c r="J592" s="18"/>
      <c r="K592" s="104">
        <f t="shared" si="48"/>
        <v>3800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1956.26</v>
      </c>
      <c r="I595" s="18"/>
      <c r="J595" s="18"/>
      <c r="K595" s="104">
        <f t="shared" si="48"/>
        <v>1956.26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3956.26</v>
      </c>
      <c r="I598" s="108">
        <f>SUM(I591:I597)</f>
        <v>16332</v>
      </c>
      <c r="J598" s="108">
        <f>SUM(J591:J597)</f>
        <v>14532</v>
      </c>
      <c r="K598" s="108">
        <f>SUM(K591:K597)</f>
        <v>34820.26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8580.99</v>
      </c>
      <c r="I602" s="18"/>
      <c r="J602" s="18"/>
      <c r="K602" s="104">
        <f>SUM(H602:J602)</f>
        <v>8580.99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8580.99</v>
      </c>
      <c r="I605" s="108">
        <f>SUM(I602:I604)</f>
        <v>0</v>
      </c>
      <c r="J605" s="108">
        <f>SUM(J602:J604)</f>
        <v>0</v>
      </c>
      <c r="K605" s="108">
        <f>SUM(K602:K604)</f>
        <v>8580.99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181.2</v>
      </c>
      <c r="G611" s="18">
        <v>14.05</v>
      </c>
      <c r="H611" s="18">
        <v>538</v>
      </c>
      <c r="I611" s="18"/>
      <c r="J611" s="18"/>
      <c r="K611" s="18"/>
      <c r="L611" s="88">
        <f>SUM(F611:K611)</f>
        <v>733.25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>
        <v>675</v>
      </c>
      <c r="I612" s="18"/>
      <c r="J612" s="18"/>
      <c r="K612" s="18"/>
      <c r="L612" s="88">
        <f>SUM(F612:K612)</f>
        <v>675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181.2</v>
      </c>
      <c r="G614" s="108">
        <f t="shared" si="49"/>
        <v>14.05</v>
      </c>
      <c r="H614" s="108">
        <f t="shared" si="49"/>
        <v>1213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1408.25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181359.15000000002</v>
      </c>
      <c r="H617" s="109">
        <f>SUM(F52)</f>
        <v>181359.15000000002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1819.18</v>
      </c>
      <c r="H618" s="109">
        <f>SUM(G52)</f>
        <v>1819.18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4704.4799999999996</v>
      </c>
      <c r="H619" s="109">
        <f>SUM(H52)</f>
        <v>4704.4799999999996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30840.400000000001</v>
      </c>
      <c r="H620" s="109">
        <f>SUM(I52)</f>
        <v>30840.400000000001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168520.5</v>
      </c>
      <c r="H621" s="109">
        <f>SUM(J52)</f>
        <v>168520.5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149453.08000000002</v>
      </c>
      <c r="H622" s="109">
        <f>F476</f>
        <v>149453.08000000007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1383.95</v>
      </c>
      <c r="H623" s="109">
        <f>G476</f>
        <v>1383.9499999999971</v>
      </c>
      <c r="I623" s="121" t="s">
        <v>102</v>
      </c>
      <c r="J623" s="109">
        <f t="shared" si="50"/>
        <v>2.9558577807620168E-12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30785.4</v>
      </c>
      <c r="H625" s="109">
        <f>I476</f>
        <v>30785.400000000023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168465.5</v>
      </c>
      <c r="H626" s="109">
        <f>J476</f>
        <v>168465.5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1946906.32</v>
      </c>
      <c r="H627" s="104">
        <f>SUM(F468)</f>
        <v>1946906.32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17457.07</v>
      </c>
      <c r="H628" s="104">
        <f>SUM(G468)</f>
        <v>17457.07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17454.13</v>
      </c>
      <c r="H629" s="104">
        <f>SUM(H468)</f>
        <v>17454.13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946481.06</v>
      </c>
      <c r="H630" s="104">
        <f>SUM(I468)</f>
        <v>946481.06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1923402.9799999997</v>
      </c>
      <c r="H632" s="104">
        <f>SUM(F472)</f>
        <v>1923402.98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17454.13</v>
      </c>
      <c r="H633" s="104">
        <f>SUM(H472)</f>
        <v>17454.13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8918.7000000000007</v>
      </c>
      <c r="H634" s="104">
        <f>I369</f>
        <v>8918.7000000000007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17411.580000000002</v>
      </c>
      <c r="H635" s="104">
        <f>SUM(G472)</f>
        <v>17411.580000000002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915695.66</v>
      </c>
      <c r="H636" s="104">
        <f>SUM(I472)</f>
        <v>915695.66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1009.4199999999998</v>
      </c>
      <c r="H638" s="164">
        <f>SUM(J472)</f>
        <v>1009.42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168520.5</v>
      </c>
      <c r="H640" s="104">
        <f>SUM(G461)</f>
        <v>168520.5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168520.5</v>
      </c>
      <c r="H642" s="104">
        <f>SUM(I461)</f>
        <v>168520.5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34820.26</v>
      </c>
      <c r="H647" s="104">
        <f>L208+L226+L244</f>
        <v>34820.26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8580.99</v>
      </c>
      <c r="H648" s="104">
        <f>(J257+J338)-(J255+J336)</f>
        <v>8580.99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3956.26</v>
      </c>
      <c r="H649" s="104">
        <f>H598</f>
        <v>3956.26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16332</v>
      </c>
      <c r="H650" s="104">
        <f>I598</f>
        <v>16332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14532</v>
      </c>
      <c r="H651" s="104">
        <f>J598</f>
        <v>14532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8713.68</v>
      </c>
      <c r="H652" s="104">
        <f>K263+K345</f>
        <v>8713.68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1206075.7699999996</v>
      </c>
      <c r="G660" s="19">
        <f>(L229+L309+L359)</f>
        <v>189090.22999999998</v>
      </c>
      <c r="H660" s="19">
        <f>(L247+L328+L360)</f>
        <v>544116.43000000005</v>
      </c>
      <c r="I660" s="19">
        <f>SUM(F660:H660)</f>
        <v>1939282.4299999997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7820.79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7820.79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3956.26</v>
      </c>
      <c r="G662" s="19">
        <f>(L226+L306)-(J226+J306)</f>
        <v>16332</v>
      </c>
      <c r="H662" s="19">
        <f>(L244+L325)-(J244+J325)</f>
        <v>14532</v>
      </c>
      <c r="I662" s="19">
        <f>SUM(F662:H662)</f>
        <v>34820.26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9314.24</v>
      </c>
      <c r="G663" s="199">
        <f>SUM(G575:G587)+SUM(I602:I604)+L612</f>
        <v>159491.01999999999</v>
      </c>
      <c r="H663" s="199">
        <f>SUM(H575:H587)+SUM(J602:J604)+L613</f>
        <v>507194.39</v>
      </c>
      <c r="I663" s="19">
        <f>SUM(F663:H663)</f>
        <v>675999.65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1184984.4799999995</v>
      </c>
      <c r="G664" s="19">
        <f>G660-SUM(G661:G663)</f>
        <v>13267.209999999992</v>
      </c>
      <c r="H664" s="19">
        <f>H660-SUM(H661:H663)</f>
        <v>22390.040000000037</v>
      </c>
      <c r="I664" s="19">
        <f>I660-SUM(I661:I663)</f>
        <v>1220641.7299999995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39.36</v>
      </c>
      <c r="G665" s="248"/>
      <c r="H665" s="248"/>
      <c r="I665" s="19">
        <f>SUM(F665:H665)</f>
        <v>39.36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30106.31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31012.240000000002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-13267.21</v>
      </c>
      <c r="H669" s="18">
        <v>-22390.04</v>
      </c>
      <c r="I669" s="19">
        <f>SUM(F669:H669)</f>
        <v>-35657.25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30106.31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30106.31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 Castle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567513.92000000004</v>
      </c>
      <c r="C9" s="229">
        <f>'DOE25'!G197+'DOE25'!G215+'DOE25'!G233+'DOE25'!G276+'DOE25'!G295+'DOE25'!G314</f>
        <v>219334.02</v>
      </c>
    </row>
    <row r="10" spans="1:3" x14ac:dyDescent="0.2">
      <c r="A10" t="s">
        <v>779</v>
      </c>
      <c r="B10" s="240">
        <v>563904.17000000004</v>
      </c>
      <c r="C10" s="240">
        <v>217930.28</v>
      </c>
    </row>
    <row r="11" spans="1:3" x14ac:dyDescent="0.2">
      <c r="A11" t="s">
        <v>780</v>
      </c>
      <c r="B11" s="240">
        <v>3609.75</v>
      </c>
      <c r="C11" s="240">
        <v>1403.74</v>
      </c>
    </row>
    <row r="12" spans="1:3" x14ac:dyDescent="0.2">
      <c r="A12" t="s">
        <v>781</v>
      </c>
      <c r="B12" s="240">
        <v>0</v>
      </c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567513.92000000004</v>
      </c>
      <c r="C13" s="231">
        <f>SUM(C10:C12)</f>
        <v>219334.02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52508.740000000005</v>
      </c>
      <c r="C18" s="229">
        <f>'DOE25'!G198+'DOE25'!G216+'DOE25'!G234+'DOE25'!G277+'DOE25'!G296+'DOE25'!G315</f>
        <v>17519.96</v>
      </c>
    </row>
    <row r="19" spans="1:3" x14ac:dyDescent="0.2">
      <c r="A19" t="s">
        <v>779</v>
      </c>
      <c r="B19" s="240">
        <v>46638.8</v>
      </c>
      <c r="C19" s="240">
        <v>15561.22</v>
      </c>
    </row>
    <row r="20" spans="1:3" x14ac:dyDescent="0.2">
      <c r="A20" t="s">
        <v>780</v>
      </c>
      <c r="B20" s="240">
        <v>5869.94</v>
      </c>
      <c r="C20" s="240">
        <v>1958.74</v>
      </c>
    </row>
    <row r="21" spans="1:3" x14ac:dyDescent="0.2">
      <c r="A21" t="s">
        <v>781</v>
      </c>
      <c r="B21" s="240">
        <v>0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52508.740000000005</v>
      </c>
      <c r="C22" s="231">
        <f>SUM(C19:C21)</f>
        <v>17519.96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1381.2</v>
      </c>
      <c r="C36" s="235">
        <f>'DOE25'!G200+'DOE25'!G218+'DOE25'!G236+'DOE25'!G279+'DOE25'!G298+'DOE25'!G317</f>
        <v>107.12</v>
      </c>
    </row>
    <row r="37" spans="1:3" x14ac:dyDescent="0.2">
      <c r="A37" t="s">
        <v>779</v>
      </c>
      <c r="B37" s="240">
        <v>0</v>
      </c>
      <c r="C37" s="240">
        <v>0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1381.2</v>
      </c>
      <c r="C39" s="240">
        <v>107.12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1381.2</v>
      </c>
      <c r="C40" s="231">
        <f>SUM(C37:C39)</f>
        <v>107.12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New Castle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1549604.14</v>
      </c>
      <c r="D5" s="20">
        <f>SUM('DOE25'!L197:L200)+SUM('DOE25'!L215:L218)+SUM('DOE25'!L233:L236)-F5-G5</f>
        <v>1546830.14</v>
      </c>
      <c r="E5" s="243"/>
      <c r="F5" s="255">
        <f>SUM('DOE25'!J197:J200)+SUM('DOE25'!J215:J218)+SUM('DOE25'!J233:J236)</f>
        <v>2349</v>
      </c>
      <c r="G5" s="53">
        <f>SUM('DOE25'!K197:K200)+SUM('DOE25'!K215:K218)+SUM('DOE25'!K233:K236)</f>
        <v>425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66718.37</v>
      </c>
      <c r="D6" s="20">
        <f>'DOE25'!L202+'DOE25'!L220+'DOE25'!L238-F6-G6</f>
        <v>66718.37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22622.639999999999</v>
      </c>
      <c r="D7" s="20">
        <f>'DOE25'!L203+'DOE25'!L221+'DOE25'!L239-F7-G7</f>
        <v>17427.64</v>
      </c>
      <c r="E7" s="243"/>
      <c r="F7" s="255">
        <f>'DOE25'!J203+'DOE25'!J221+'DOE25'!J239</f>
        <v>5195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74771.000000000029</v>
      </c>
      <c r="D8" s="243"/>
      <c r="E8" s="20">
        <f>'DOE25'!L204+'DOE25'!L222+'DOE25'!L240-F8-G8-D9-D11</f>
        <v>71535.130000000034</v>
      </c>
      <c r="F8" s="255">
        <f>'DOE25'!J204+'DOE25'!J222+'DOE25'!J240</f>
        <v>0</v>
      </c>
      <c r="G8" s="53">
        <f>'DOE25'!K204+'DOE25'!K222+'DOE25'!K240</f>
        <v>3235.8700000000003</v>
      </c>
      <c r="H8" s="259"/>
    </row>
    <row r="9" spans="1:9" x14ac:dyDescent="0.2">
      <c r="A9" s="32">
        <v>2310</v>
      </c>
      <c r="B9" t="s">
        <v>818</v>
      </c>
      <c r="C9" s="245">
        <f t="shared" si="0"/>
        <v>21521.119999999999</v>
      </c>
      <c r="D9" s="244">
        <v>21521.119999999999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2950</v>
      </c>
      <c r="D10" s="243"/>
      <c r="E10" s="244">
        <v>2950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43130</v>
      </c>
      <c r="D11" s="244">
        <v>43130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24133.13</v>
      </c>
      <c r="D12" s="20">
        <f>'DOE25'!L205+'DOE25'!L223+'DOE25'!L241-F12-G12</f>
        <v>24133.13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1134.19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1134.19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63689.179999999993</v>
      </c>
      <c r="D14" s="20">
        <f>'DOE25'!L207+'DOE25'!L225+'DOE25'!L243-F14-G14</f>
        <v>63410.189999999995</v>
      </c>
      <c r="E14" s="243"/>
      <c r="F14" s="255">
        <f>'DOE25'!J207+'DOE25'!J225+'DOE25'!J243</f>
        <v>278.99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34820.26</v>
      </c>
      <c r="D15" s="20">
        <f>'DOE25'!L208+'DOE25'!L226+'DOE25'!L244-F15-G15</f>
        <v>34820.26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2272.6899999999996</v>
      </c>
      <c r="D16" s="243"/>
      <c r="E16" s="20">
        <f>'DOE25'!L209+'DOE25'!L227+'DOE25'!L245-F16-G16</f>
        <v>2272.6899999999996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160</v>
      </c>
      <c r="D22" s="243"/>
      <c r="E22" s="243"/>
      <c r="F22" s="255">
        <f>'DOE25'!L255+'DOE25'!L336</f>
        <v>160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10112.58</v>
      </c>
      <c r="D25" s="243"/>
      <c r="E25" s="243"/>
      <c r="F25" s="258"/>
      <c r="G25" s="256"/>
      <c r="H25" s="257">
        <f>'DOE25'!L260+'DOE25'!L261+'DOE25'!L341+'DOE25'!L342</f>
        <v>10112.58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10013.700000000001</v>
      </c>
      <c r="D29" s="20">
        <f>'DOE25'!L358+'DOE25'!L359+'DOE25'!L360-'DOE25'!I367-F29-G29</f>
        <v>10013.700000000001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17454.13</v>
      </c>
      <c r="D31" s="20">
        <f>'DOE25'!L290+'DOE25'!L309+'DOE25'!L328+'DOE25'!L333+'DOE25'!L334+'DOE25'!L335-F31-G31</f>
        <v>16445.810000000001</v>
      </c>
      <c r="E31" s="243"/>
      <c r="F31" s="255">
        <f>'DOE25'!J290+'DOE25'!J309+'DOE25'!J328+'DOE25'!J333+'DOE25'!J334+'DOE25'!J335</f>
        <v>758</v>
      </c>
      <c r="G31" s="53">
        <f>'DOE25'!K290+'DOE25'!K309+'DOE25'!K328+'DOE25'!K333+'DOE25'!K334+'DOE25'!K335</f>
        <v>250.32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1844450.3599999996</v>
      </c>
      <c r="E33" s="246">
        <f>SUM(E5:E31)</f>
        <v>76757.820000000036</v>
      </c>
      <c r="F33" s="246">
        <f>SUM(F5:F31)</f>
        <v>8740.99</v>
      </c>
      <c r="G33" s="246">
        <f>SUM(G5:G31)</f>
        <v>5045.38</v>
      </c>
      <c r="H33" s="246">
        <f>SUM(H5:H31)</f>
        <v>10112.58</v>
      </c>
    </row>
    <row r="35" spans="2:8" ht="12" thickBot="1" x14ac:dyDescent="0.25">
      <c r="B35" s="253" t="s">
        <v>847</v>
      </c>
      <c r="D35" s="254">
        <f>E33</f>
        <v>76757.820000000036</v>
      </c>
      <c r="E35" s="249"/>
    </row>
    <row r="36" spans="2:8" ht="12" thickTop="1" x14ac:dyDescent="0.2">
      <c r="B36" t="s">
        <v>815</v>
      </c>
      <c r="D36" s="20">
        <f>D33</f>
        <v>1844450.3599999996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Castle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176501.69</v>
      </c>
      <c r="D8" s="95">
        <f>'DOE25'!G9</f>
        <v>45.49</v>
      </c>
      <c r="E8" s="95">
        <f>'DOE25'!H9</f>
        <v>0</v>
      </c>
      <c r="F8" s="95">
        <f>'DOE25'!I9</f>
        <v>30840.400000000001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168520.5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'DOE25'!F12</f>
        <v>4759.4799999999996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'DOE25'!F13</f>
        <v>97.98</v>
      </c>
      <c r="D11" s="95">
        <f>'DOE25'!G12</f>
        <v>313.08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 t="e">
        <f>'DOE25'!#REF!</f>
        <v>#REF!</v>
      </c>
      <c r="D12" s="95">
        <f>'DOE25'!G13</f>
        <v>122.15</v>
      </c>
      <c r="E12" s="95">
        <f>'DOE25'!H13</f>
        <v>4704.4799999999996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1338.46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 t="e">
        <f>SUM(C8:C17)</f>
        <v>#REF!</v>
      </c>
      <c r="D18" s="41">
        <f>SUM(D8:D17)</f>
        <v>1819.18</v>
      </c>
      <c r="E18" s="41">
        <f>SUM(E8:E17)</f>
        <v>4704.4799999999996</v>
      </c>
      <c r="F18" s="41">
        <f>SUM(F8:F17)</f>
        <v>30840.400000000001</v>
      </c>
      <c r="G18" s="41">
        <f>SUM(G8:G17)</f>
        <v>168520.5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313.08</v>
      </c>
      <c r="D21" s="95">
        <f>'DOE25'!G22</f>
        <v>0</v>
      </c>
      <c r="E21" s="95">
        <f>'DOE25'!H22</f>
        <v>4704.4799999999996</v>
      </c>
      <c r="F21" s="95">
        <f>'DOE25'!I22</f>
        <v>55</v>
      </c>
      <c r="G21" s="95">
        <f>'DOE25'!J22</f>
        <v>55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195.92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7133.2</v>
      </c>
      <c r="D23" s="95">
        <f>'DOE25'!G24</f>
        <v>435.23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24263.87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31906.07</v>
      </c>
      <c r="D31" s="41">
        <f>SUM(D21:D30)</f>
        <v>435.23</v>
      </c>
      <c r="E31" s="41">
        <f>SUM(E21:E30)</f>
        <v>4704.4799999999996</v>
      </c>
      <c r="F31" s="41">
        <f>SUM(F21:F30)</f>
        <v>55</v>
      </c>
      <c r="G31" s="41">
        <f>SUM(G21:G30)</f>
        <v>55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1338.46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45.49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30785.4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168465.5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119453.08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149453.08000000002</v>
      </c>
      <c r="D50" s="41">
        <f>SUM(D34:D49)</f>
        <v>1383.95</v>
      </c>
      <c r="E50" s="41">
        <f>SUM(E34:E49)</f>
        <v>0</v>
      </c>
      <c r="F50" s="41">
        <f>SUM(F34:F49)</f>
        <v>30785.4</v>
      </c>
      <c r="G50" s="41">
        <f>SUM(G34:G49)</f>
        <v>168465.5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181359.15000000002</v>
      </c>
      <c r="D51" s="41">
        <f>D50+D31</f>
        <v>1819.18</v>
      </c>
      <c r="E51" s="41">
        <f>E50+E31</f>
        <v>4704.4799999999996</v>
      </c>
      <c r="F51" s="41">
        <f>F50+F31</f>
        <v>30840.400000000001</v>
      </c>
      <c r="G51" s="41">
        <f>G50+G31</f>
        <v>168520.5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371898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2808.96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20.81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7820.79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2502.0700000000002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5311.0300000000007</v>
      </c>
      <c r="D62" s="130">
        <f>SUM(D57:D61)</f>
        <v>7820.79</v>
      </c>
      <c r="E62" s="130">
        <f>SUM(E57:E61)</f>
        <v>0</v>
      </c>
      <c r="F62" s="130">
        <f>SUM(F57:F61)</f>
        <v>20.81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377209.03</v>
      </c>
      <c r="D63" s="22">
        <f>D56+D62</f>
        <v>7820.79</v>
      </c>
      <c r="E63" s="22">
        <f>E56+E62</f>
        <v>0</v>
      </c>
      <c r="F63" s="22">
        <f>F56+F62</f>
        <v>20.81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1565411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1565411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1565411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4286.29</v>
      </c>
      <c r="D88" s="95">
        <f>SUM('DOE25'!G153:G161)</f>
        <v>922.6</v>
      </c>
      <c r="E88" s="95">
        <f>SUM('DOE25'!H153:H161)</f>
        <v>17454.13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4286.29</v>
      </c>
      <c r="D91" s="131">
        <f>SUM(D85:D90)</f>
        <v>922.6</v>
      </c>
      <c r="E91" s="131">
        <f>SUM(E85:E90)</f>
        <v>17454.13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946460.25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8713.68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8713.68</v>
      </c>
      <c r="E103" s="86">
        <f>SUM(E93:E102)</f>
        <v>0</v>
      </c>
      <c r="F103" s="86">
        <f>SUM(F93:F102)</f>
        <v>946460.25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1946906.32</v>
      </c>
      <c r="D104" s="86">
        <f>D63+D81+D91+D103</f>
        <v>17457.07</v>
      </c>
      <c r="E104" s="86">
        <f>E63+E81+E91+E103</f>
        <v>17454.13</v>
      </c>
      <c r="F104" s="86">
        <f>F63+F81+F91+F103</f>
        <v>946481.06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1456648.74</v>
      </c>
      <c r="D109" s="24" t="s">
        <v>289</v>
      </c>
      <c r="E109" s="95">
        <f>('DOE25'!L276)+('DOE25'!L295)+('DOE25'!L314)</f>
        <v>6886.2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88342.329999999987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4613.07</v>
      </c>
      <c r="D112" s="24" t="s">
        <v>289</v>
      </c>
      <c r="E112" s="95">
        <f>+('DOE25'!L279)+('DOE25'!L298)+('DOE25'!L317)</f>
        <v>6465.13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1549604.1400000001</v>
      </c>
      <c r="D115" s="86">
        <f>SUM(D109:D114)</f>
        <v>0</v>
      </c>
      <c r="E115" s="86">
        <f>SUM(E109:E114)</f>
        <v>13351.33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66718.37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22622.639999999999</v>
      </c>
      <c r="D119" s="24" t="s">
        <v>289</v>
      </c>
      <c r="E119" s="95">
        <f>+('DOE25'!L282)+('DOE25'!L301)+('DOE25'!L320)</f>
        <v>3852.48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139422.12000000002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24133.13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1134.19</v>
      </c>
      <c r="D122" s="24" t="s">
        <v>289</v>
      </c>
      <c r="E122" s="95">
        <f>+('DOE25'!L285)+('DOE25'!L304)+('DOE25'!L323)</f>
        <v>250.32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63689.179999999993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34820.26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2272.6899999999996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17411.580000000002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354812.58</v>
      </c>
      <c r="D128" s="86">
        <f>SUM(D118:D127)</f>
        <v>17411.580000000002</v>
      </c>
      <c r="E128" s="86">
        <f>SUM(E118:E127)</f>
        <v>4102.8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160</v>
      </c>
      <c r="D130" s="24" t="s">
        <v>289</v>
      </c>
      <c r="E130" s="129">
        <f>'DOE25'!L336</f>
        <v>0</v>
      </c>
      <c r="F130" s="129">
        <f>SUM('DOE25'!L374:'DOE25'!L380)</f>
        <v>915695.66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10112.58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8713.68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18986.260000000002</v>
      </c>
      <c r="D144" s="141">
        <f>SUM(D130:D143)</f>
        <v>0</v>
      </c>
      <c r="E144" s="141">
        <f>SUM(E130:E143)</f>
        <v>0</v>
      </c>
      <c r="F144" s="141">
        <f>SUM(F130:F143)</f>
        <v>915695.66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1923402.9800000002</v>
      </c>
      <c r="D145" s="86">
        <f>(D115+D128+D144)</f>
        <v>17411.580000000002</v>
      </c>
      <c r="E145" s="86">
        <f>(E115+E128+E144)</f>
        <v>17454.13</v>
      </c>
      <c r="F145" s="86">
        <f>(F115+F128+F144)</f>
        <v>915695.66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2/15/16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8/15/25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998000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2.4700000000000002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998000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998000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998000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998000</v>
      </c>
    </row>
    <row r="160" spans="1:9" x14ac:dyDescent="0.2">
      <c r="A160" s="22" t="s">
        <v>36</v>
      </c>
      <c r="B160" s="137">
        <f>'DOE25'!F499</f>
        <v>123495.21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123495.21</v>
      </c>
    </row>
    <row r="161" spans="1:7" x14ac:dyDescent="0.2">
      <c r="A161" s="22" t="s">
        <v>37</v>
      </c>
      <c r="B161" s="137">
        <f>'DOE25'!F500</f>
        <v>1121495.21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1121495.21</v>
      </c>
    </row>
    <row r="162" spans="1:7" x14ac:dyDescent="0.2">
      <c r="A162" s="22" t="s">
        <v>38</v>
      </c>
      <c r="B162" s="137">
        <f>'DOE25'!F501</f>
        <v>98000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98000</v>
      </c>
    </row>
    <row r="163" spans="1:7" x14ac:dyDescent="0.2">
      <c r="A163" s="22" t="s">
        <v>39</v>
      </c>
      <c r="B163" s="137">
        <f>'DOE25'!F502</f>
        <v>23497.89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23497.89</v>
      </c>
    </row>
    <row r="164" spans="1:7" x14ac:dyDescent="0.2">
      <c r="A164" s="22" t="s">
        <v>246</v>
      </c>
      <c r="B164" s="137">
        <f>'DOE25'!F503</f>
        <v>121497.89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121497.89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New Castle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30106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30106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1463535</v>
      </c>
      <c r="D10" s="182">
        <f>ROUND((C10/$C$28)*100,1)</f>
        <v>75.400000000000006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88342</v>
      </c>
      <c r="D11" s="182">
        <f>ROUND((C11/$C$28)*100,1)</f>
        <v>4.5999999999999996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11078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66718</v>
      </c>
      <c r="D15" s="182">
        <f t="shared" ref="D15:D27" si="0">ROUND((C15/$C$28)*100,1)</f>
        <v>3.4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26475</v>
      </c>
      <c r="D16" s="182">
        <f t="shared" si="0"/>
        <v>1.4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141695</v>
      </c>
      <c r="D17" s="182">
        <f t="shared" si="0"/>
        <v>7.3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24133</v>
      </c>
      <c r="D18" s="182">
        <f t="shared" si="0"/>
        <v>1.2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1385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63689</v>
      </c>
      <c r="D20" s="182">
        <f t="shared" si="0"/>
        <v>3.3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34820</v>
      </c>
      <c r="D21" s="182">
        <f t="shared" si="0"/>
        <v>1.8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10113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9591.2099999999991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1941574.21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915856</v>
      </c>
    </row>
    <row r="30" spans="1:4" x14ac:dyDescent="0.2">
      <c r="B30" s="187" t="s">
        <v>729</v>
      </c>
      <c r="C30" s="180">
        <f>SUM(C28:C29)</f>
        <v>2857430.21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371898</v>
      </c>
      <c r="D35" s="182">
        <f t="shared" ref="D35:D40" si="1">ROUND((C35/$C$41)*100,1)</f>
        <v>18.899999999999999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5331.8400000000256</v>
      </c>
      <c r="D36" s="182">
        <f t="shared" si="1"/>
        <v>0.3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1565411</v>
      </c>
      <c r="D37" s="182">
        <f t="shared" si="1"/>
        <v>79.7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22663</v>
      </c>
      <c r="D39" s="182">
        <f t="shared" si="1"/>
        <v>1.2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1965303.84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946460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New Castle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2016-08-10T16:12:58Z</cp:lastPrinted>
  <dcterms:created xsi:type="dcterms:W3CDTF">1997-12-04T19:04:30Z</dcterms:created>
  <dcterms:modified xsi:type="dcterms:W3CDTF">2016-09-01T14:57:46Z</dcterms:modified>
</cp:coreProperties>
</file>