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-15" yWindow="15" windowWidth="19350" windowHeight="145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3" i="1" l="1"/>
  <c r="H521" i="1" l="1"/>
  <c r="G465" i="1" l="1"/>
  <c r="K263" i="1"/>
  <c r="G179" i="1"/>
  <c r="F22" i="1"/>
  <c r="G9" i="1"/>
  <c r="G12" i="1"/>
  <c r="G13" i="1"/>
  <c r="H473" i="1" l="1"/>
  <c r="H48" i="1" l="1"/>
  <c r="F28" i="1" l="1"/>
  <c r="J465" i="1"/>
  <c r="G459" i="1"/>
  <c r="G448" i="1" l="1"/>
  <c r="F13" i="1"/>
  <c r="F12" i="1"/>
  <c r="C29" i="2" l="1"/>
  <c r="D11" i="13" l="1"/>
  <c r="H12" i="1" l="1"/>
  <c r="F10" i="1"/>
  <c r="G22" i="1" l="1"/>
  <c r="H368" i="1" l="1"/>
  <c r="G368" i="1"/>
  <c r="F368" i="1"/>
  <c r="H367" i="1"/>
  <c r="G367" i="1"/>
  <c r="F367" i="1"/>
  <c r="K426" i="1" l="1"/>
  <c r="H400" i="1"/>
  <c r="G28" i="1"/>
  <c r="I528" i="1" l="1"/>
  <c r="I527" i="1"/>
  <c r="I526" i="1"/>
  <c r="H528" i="1"/>
  <c r="H527" i="1"/>
  <c r="H526" i="1"/>
  <c r="G526" i="1" l="1"/>
  <c r="F526" i="1"/>
  <c r="J523" i="1"/>
  <c r="I523" i="1"/>
  <c r="H522" i="1"/>
  <c r="G523" i="1"/>
  <c r="G522" i="1"/>
  <c r="G521" i="1"/>
  <c r="F523" i="1"/>
  <c r="F522" i="1"/>
  <c r="F521" i="1"/>
  <c r="H611" i="1" l="1"/>
  <c r="H612" i="1"/>
  <c r="H613" i="1"/>
  <c r="H595" i="1" l="1"/>
  <c r="J597" i="1"/>
  <c r="I597" i="1"/>
  <c r="I595" i="1"/>
  <c r="I591" i="1"/>
  <c r="J595" i="1"/>
  <c r="J591" i="1"/>
  <c r="F10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79" i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C143" i="2" s="1"/>
  <c r="L349" i="1"/>
  <c r="C26" i="10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3" i="2"/>
  <c r="E113" i="2"/>
  <c r="D115" i="2"/>
  <c r="F115" i="2"/>
  <c r="G115" i="2"/>
  <c r="C119" i="2"/>
  <c r="C122" i="2"/>
  <c r="C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G52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G650" i="1"/>
  <c r="G651" i="1"/>
  <c r="G652" i="1"/>
  <c r="H652" i="1"/>
  <c r="G653" i="1"/>
  <c r="H653" i="1"/>
  <c r="G654" i="1"/>
  <c r="H654" i="1"/>
  <c r="H655" i="1"/>
  <c r="J655" i="1" s="1"/>
  <c r="I169" i="1"/>
  <c r="F169" i="1"/>
  <c r="J140" i="1"/>
  <c r="F22" i="13"/>
  <c r="C22" i="13" s="1"/>
  <c r="D18" i="13" l="1"/>
  <c r="C18" i="13" s="1"/>
  <c r="D7" i="13"/>
  <c r="C7" i="13" s="1"/>
  <c r="G617" i="1"/>
  <c r="F552" i="1"/>
  <c r="G62" i="2"/>
  <c r="C118" i="2"/>
  <c r="C112" i="2"/>
  <c r="F408" i="1"/>
  <c r="H643" i="1" s="1"/>
  <c r="J643" i="1" s="1"/>
  <c r="H545" i="1"/>
  <c r="L427" i="1"/>
  <c r="C70" i="2"/>
  <c r="L570" i="1"/>
  <c r="G192" i="1"/>
  <c r="H552" i="1"/>
  <c r="D19" i="13"/>
  <c r="C19" i="13" s="1"/>
  <c r="D17" i="13"/>
  <c r="C17" i="13" s="1"/>
  <c r="E13" i="13"/>
  <c r="C13" i="13" s="1"/>
  <c r="D81" i="2"/>
  <c r="G81" i="2"/>
  <c r="G476" i="1"/>
  <c r="H623" i="1" s="1"/>
  <c r="J623" i="1" s="1"/>
  <c r="D6" i="13"/>
  <c r="C6" i="13" s="1"/>
  <c r="L433" i="1"/>
  <c r="L419" i="1"/>
  <c r="H112" i="1"/>
  <c r="L401" i="1"/>
  <c r="C139" i="2" s="1"/>
  <c r="E114" i="2"/>
  <c r="L539" i="1"/>
  <c r="G157" i="2"/>
  <c r="L560" i="1"/>
  <c r="A13" i="12"/>
  <c r="F461" i="1"/>
  <c r="H639" i="1" s="1"/>
  <c r="D62" i="2"/>
  <c r="D14" i="13"/>
  <c r="C14" i="13" s="1"/>
  <c r="A40" i="12"/>
  <c r="H617" i="1"/>
  <c r="J617" i="1" s="1"/>
  <c r="G618" i="1"/>
  <c r="H618" i="1"/>
  <c r="G156" i="2"/>
  <c r="C78" i="2"/>
  <c r="J476" i="1"/>
  <c r="H626" i="1" s="1"/>
  <c r="G461" i="1"/>
  <c r="H640" i="1" s="1"/>
  <c r="J640" i="1" s="1"/>
  <c r="D50" i="2"/>
  <c r="L529" i="1"/>
  <c r="G552" i="1"/>
  <c r="K545" i="1"/>
  <c r="G545" i="1"/>
  <c r="K549" i="1"/>
  <c r="K550" i="1"/>
  <c r="I545" i="1"/>
  <c r="K551" i="1"/>
  <c r="J545" i="1"/>
  <c r="K605" i="1"/>
  <c r="G648" i="1" s="1"/>
  <c r="K598" i="1"/>
  <c r="G647" i="1" s="1"/>
  <c r="J647" i="1" s="1"/>
  <c r="F571" i="1"/>
  <c r="J571" i="1"/>
  <c r="K571" i="1"/>
  <c r="L565" i="1"/>
  <c r="G161" i="2"/>
  <c r="G164" i="2"/>
  <c r="F476" i="1"/>
  <c r="H622" i="1" s="1"/>
  <c r="J622" i="1" s="1"/>
  <c r="I476" i="1"/>
  <c r="H625" i="1" s="1"/>
  <c r="J625" i="1" s="1"/>
  <c r="H476" i="1"/>
  <c r="H624" i="1" s="1"/>
  <c r="J624" i="1" s="1"/>
  <c r="I460" i="1"/>
  <c r="H461" i="1"/>
  <c r="H641" i="1" s="1"/>
  <c r="J641" i="1" s="1"/>
  <c r="J639" i="1"/>
  <c r="I452" i="1"/>
  <c r="I446" i="1"/>
  <c r="G642" i="1" s="1"/>
  <c r="D31" i="2"/>
  <c r="I408" i="1"/>
  <c r="H408" i="1"/>
  <c r="H644" i="1" s="1"/>
  <c r="J644" i="1" s="1"/>
  <c r="G408" i="1"/>
  <c r="H645" i="1" s="1"/>
  <c r="L393" i="1"/>
  <c r="C138" i="2" s="1"/>
  <c r="C15" i="10"/>
  <c r="E111" i="2"/>
  <c r="F130" i="2"/>
  <c r="F144" i="2" s="1"/>
  <c r="F145" i="2" s="1"/>
  <c r="I369" i="1"/>
  <c r="H634" i="1" s="1"/>
  <c r="J634" i="1" s="1"/>
  <c r="L362" i="1"/>
  <c r="C27" i="10" s="1"/>
  <c r="F661" i="1"/>
  <c r="E142" i="2"/>
  <c r="E144" i="2" s="1"/>
  <c r="L351" i="1"/>
  <c r="C132" i="2"/>
  <c r="L270" i="1"/>
  <c r="C114" i="2"/>
  <c r="L256" i="1"/>
  <c r="J651" i="1"/>
  <c r="L247" i="1"/>
  <c r="H257" i="1"/>
  <c r="H271" i="1" s="1"/>
  <c r="J257" i="1"/>
  <c r="J271" i="1" s="1"/>
  <c r="F257" i="1"/>
  <c r="F271" i="1" s="1"/>
  <c r="I257" i="1"/>
  <c r="I271" i="1" s="1"/>
  <c r="C111" i="2"/>
  <c r="G257" i="1"/>
  <c r="G271" i="1" s="1"/>
  <c r="L211" i="1"/>
  <c r="E16" i="13"/>
  <c r="C16" i="13" s="1"/>
  <c r="C110" i="2"/>
  <c r="E124" i="2"/>
  <c r="L328" i="1"/>
  <c r="E110" i="2"/>
  <c r="C10" i="10"/>
  <c r="E122" i="2"/>
  <c r="C20" i="10"/>
  <c r="E121" i="2"/>
  <c r="G662" i="1"/>
  <c r="E120" i="2"/>
  <c r="C16" i="10"/>
  <c r="J338" i="1"/>
  <c r="J352" i="1" s="1"/>
  <c r="G338" i="1"/>
  <c r="G352" i="1" s="1"/>
  <c r="L309" i="1"/>
  <c r="F338" i="1"/>
  <c r="F352" i="1" s="1"/>
  <c r="E125" i="2"/>
  <c r="E123" i="2"/>
  <c r="C18" i="10"/>
  <c r="C17" i="10"/>
  <c r="E119" i="2"/>
  <c r="H338" i="1"/>
  <c r="H352" i="1" s="1"/>
  <c r="A31" i="12"/>
  <c r="C11" i="10"/>
  <c r="G645" i="1"/>
  <c r="E103" i="2"/>
  <c r="D91" i="2"/>
  <c r="F78" i="2"/>
  <c r="F81" i="2" s="1"/>
  <c r="E78" i="2"/>
  <c r="E81" i="2" s="1"/>
  <c r="H140" i="1"/>
  <c r="H193" i="1" s="1"/>
  <c r="G629" i="1" s="1"/>
  <c r="J629" i="1" s="1"/>
  <c r="F192" i="1"/>
  <c r="C91" i="2"/>
  <c r="E62" i="2"/>
  <c r="E63" i="2" s="1"/>
  <c r="F112" i="1"/>
  <c r="D63" i="2"/>
  <c r="G112" i="1"/>
  <c r="C35" i="10"/>
  <c r="E31" i="2"/>
  <c r="F18" i="2"/>
  <c r="D18" i="2"/>
  <c r="C18" i="2"/>
  <c r="L382" i="1"/>
  <c r="G636" i="1" s="1"/>
  <c r="J636" i="1" s="1"/>
  <c r="E109" i="2"/>
  <c r="C29" i="10"/>
  <c r="D15" i="13"/>
  <c r="C15" i="13" s="1"/>
  <c r="K257" i="1"/>
  <c r="K271" i="1" s="1"/>
  <c r="L544" i="1"/>
  <c r="D127" i="2"/>
  <c r="D128" i="2" s="1"/>
  <c r="D145" i="2" s="1"/>
  <c r="C57" i="2"/>
  <c r="C62" i="2" s="1"/>
  <c r="C63" i="2" s="1"/>
  <c r="F662" i="1"/>
  <c r="C13" i="10"/>
  <c r="K503" i="1"/>
  <c r="E118" i="2"/>
  <c r="L614" i="1"/>
  <c r="E112" i="2"/>
  <c r="F56" i="2"/>
  <c r="C21" i="10"/>
  <c r="C12" i="10"/>
  <c r="L290" i="1"/>
  <c r="H25" i="13"/>
  <c r="D5" i="13"/>
  <c r="C5" i="13" s="1"/>
  <c r="J552" i="1"/>
  <c r="D29" i="13"/>
  <c r="C29" i="13" s="1"/>
  <c r="K500" i="1"/>
  <c r="I52" i="1"/>
  <c r="H620" i="1" s="1"/>
  <c r="J620" i="1" s="1"/>
  <c r="C121" i="2"/>
  <c r="G661" i="1"/>
  <c r="E8" i="13"/>
  <c r="C8" i="13" s="1"/>
  <c r="D12" i="13"/>
  <c r="C12" i="13" s="1"/>
  <c r="K338" i="1"/>
  <c r="K352" i="1" s="1"/>
  <c r="H52" i="1"/>
  <c r="H619" i="1" s="1"/>
  <c r="J619" i="1" s="1"/>
  <c r="C32" i="10"/>
  <c r="C19" i="10"/>
  <c r="G649" i="1"/>
  <c r="J649" i="1" s="1"/>
  <c r="C124" i="2"/>
  <c r="C120" i="2"/>
  <c r="L229" i="1"/>
  <c r="L337" i="1"/>
  <c r="F62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G635" i="1"/>
  <c r="J635" i="1" s="1"/>
  <c r="C115" i="2" l="1"/>
  <c r="C81" i="2"/>
  <c r="C141" i="2"/>
  <c r="C144" i="2" s="1"/>
  <c r="J645" i="1"/>
  <c r="L545" i="1"/>
  <c r="J618" i="1"/>
  <c r="I461" i="1"/>
  <c r="H642" i="1" s="1"/>
  <c r="J642" i="1" s="1"/>
  <c r="D51" i="2"/>
  <c r="K552" i="1"/>
  <c r="G51" i="2"/>
  <c r="I661" i="1"/>
  <c r="H660" i="1"/>
  <c r="H664" i="1" s="1"/>
  <c r="H672" i="1" s="1"/>
  <c r="C6" i="10" s="1"/>
  <c r="I662" i="1"/>
  <c r="G660" i="1"/>
  <c r="G664" i="1" s="1"/>
  <c r="G667" i="1" s="1"/>
  <c r="L257" i="1"/>
  <c r="L271" i="1" s="1"/>
  <c r="G632" i="1" s="1"/>
  <c r="J632" i="1" s="1"/>
  <c r="C128" i="2"/>
  <c r="F660" i="1"/>
  <c r="F664" i="1" s="1"/>
  <c r="F672" i="1" s="1"/>
  <c r="C4" i="10" s="1"/>
  <c r="H648" i="1"/>
  <c r="J648" i="1" s="1"/>
  <c r="E128" i="2"/>
  <c r="D31" i="13"/>
  <c r="C31" i="13" s="1"/>
  <c r="L338" i="1"/>
  <c r="L352" i="1" s="1"/>
  <c r="G633" i="1" s="1"/>
  <c r="J633" i="1" s="1"/>
  <c r="G104" i="2"/>
  <c r="I193" i="1"/>
  <c r="G630" i="1" s="1"/>
  <c r="J630" i="1" s="1"/>
  <c r="D104" i="2"/>
  <c r="C104" i="2"/>
  <c r="F193" i="1"/>
  <c r="G627" i="1" s="1"/>
  <c r="J627" i="1" s="1"/>
  <c r="C36" i="10"/>
  <c r="E104" i="2"/>
  <c r="E51" i="2"/>
  <c r="F63" i="2"/>
  <c r="F104" i="2" s="1"/>
  <c r="E115" i="2"/>
  <c r="E33" i="13"/>
  <c r="D35" i="13" s="1"/>
  <c r="C28" i="10"/>
  <c r="D23" i="10" s="1"/>
  <c r="F51" i="2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0" i="1"/>
  <c r="I664" i="1" s="1"/>
  <c r="I672" i="1" s="1"/>
  <c r="C7" i="10" s="1"/>
  <c r="F667" i="1"/>
  <c r="E145" i="2"/>
  <c r="D33" i="13"/>
  <c r="D36" i="13" s="1"/>
  <c r="D12" i="10"/>
  <c r="D26" i="10"/>
  <c r="D22" i="10"/>
  <c r="G672" i="1"/>
  <c r="C5" i="10" s="1"/>
  <c r="D19" i="10"/>
  <c r="D24" i="10"/>
  <c r="D11" i="10"/>
  <c r="D17" i="10"/>
  <c r="D27" i="10"/>
  <c r="D25" i="10"/>
  <c r="D13" i="10"/>
  <c r="D18" i="10"/>
  <c r="D15" i="10"/>
  <c r="D20" i="10"/>
  <c r="D21" i="10"/>
  <c r="D10" i="10"/>
  <c r="C30" i="10"/>
  <c r="D16" i="10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<sst xmlns="http://schemas.openxmlformats.org/spreadsheetml/2006/main" count="3961" uniqueCount="919">
  <si>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</si>
  <si>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</si>
  <si>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</si>
  <si>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</si>
  <si>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</si>
  <si>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</si>
  <si>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</si>
  <si>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</si>
  <si>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</si>
  <si>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</si>
  <si>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</si>
  <si>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</si>
  <si>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</si>
  <si>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</si>
  <si>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</si>
  <si>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</si>
  <si>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</si>
  <si>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</si>
  <si>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</si>
  <si>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</si>
  <si>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</si>
  <si>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</si>
  <si>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</si>
  <si>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</si>
  <si>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</si>
  <si>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</si>
  <si>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</si>
  <si>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</si>
  <si>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</si>
  <si>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</si>
  <si>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</si>
  <si>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</si>
  <si>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</si>
  <si>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</si>
  <si>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</si>
  <si>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</si>
  <si>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</si>
  <si>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</si>
  <si>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</si>
  <si>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</si>
  <si>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</si>
  <si>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</si>
  <si>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</si>
  <si>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</si>
  <si>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</si>
  <si>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</si>
  <si>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</si>
  <si>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</si>
  <si>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</si>
  <si>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</si>
  <si>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</si>
  <si>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</si>
  <si>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</si>
  <si>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</si>
  <si>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</si>
  <si>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</si>
  <si>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</si>
  <si>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</si>
  <si>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</si>
  <si>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</si>
  <si>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</si>
  <si>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</si>
  <si>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</si>
  <si>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</si>
  <si>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</si>
  <si>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</si>
  <si>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</si>
  <si>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</si>
  <si>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</si>
  <si>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</si>
  <si>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</si>
  <si>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</si>
  <si>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</si>
  <si>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</si>
  <si>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</si>
  <si>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</si>
  <si>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</si>
  <si>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</si>
  <si>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</si>
  <si>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</si>
  <si>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</si>
  <si>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</si>
  <si>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</si>
  <si>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</si>
  <si>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</si>
  <si>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</si>
  <si>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</si>
  <si>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</si>
  <si>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</si>
  <si>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</si>
  <si>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</si>
  <si>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</si>
  <si>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</si>
  <si>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</si>
  <si>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</si>
  <si>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</si>
  <si>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</si>
  <si>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</si>
  <si>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</si>
  <si>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</si>
  <si>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</si>
  <si>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</si>
  <si>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</si>
  <si>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</si>
  <si>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</si>
  <si>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</si>
  <si>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</si>
  <si>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</si>
  <si>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</si>
  <si>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</si>
  <si>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</si>
  <si>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</si>
  <si>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</si>
  <si>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</si>
  <si>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</si>
  <si>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</si>
  <si>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</si>
  <si>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</si>
  <si>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</si>
  <si>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</si>
  <si>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</si>
  <si>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</si>
  <si>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</si>
  <si>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</si>
  <si>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</si>
  <si>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</si>
  <si>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</si>
  <si>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</si>
  <si>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</si>
  <si>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</si>
  <si>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</si>
  <si>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</si>
  <si>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</si>
  <si>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</si>
  <si>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</si>
  <si>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</si>
  <si>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</si>
  <si>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</si>
  <si>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</si>
  <si>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</si>
  <si>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</si>
  <si>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</si>
  <si>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</si>
  <si>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</si>
  <si>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</si>
  <si>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</si>
  <si>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</si>
  <si>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</si>
  <si>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</si>
  <si>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</si>
  <si>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</si>
  <si>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</si>
  <si>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</si>
  <si>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</si>
  <si>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</si>
  <si>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</si>
  <si>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</si>
  <si>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</si>
  <si>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</si>
  <si>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</si>
  <si>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</si>
  <si>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</si>
  <si>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</si>
  <si>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</si>
  <si>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</si>
  <si>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</si>
  <si>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</si>
  <si>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</si>
  <si>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</si>
  <si>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</si>
  <si>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</si>
  <si>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</si>
  <si>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</si>
  <si>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</si>
  <si>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</si>
  <si>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</si>
  <si>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</si>
  <si>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</si>
  <si>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</si>
  <si>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</si>
  <si>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</si>
  <si>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</si>
  <si>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</si>
  <si>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</si>
  <si>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</si>
  <si>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</si>
  <si>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</si>
  <si>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</si>
  <si>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</si>
  <si>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</si>
  <si>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</si>
  <si>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</si>
  <si>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</si>
  <si>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</si>
  <si>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</si>
  <si>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</si>
  <si>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</si>
  <si>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</si>
  <si>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</si>
  <si>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</si>
  <si>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</si>
  <si>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</si>
  <si>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</si>
  <si>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</si>
  <si>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</si>
  <si>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</si>
  <si>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</si>
  <si>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</si>
  <si>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</si>
  <si>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</si>
  <si>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</si>
  <si>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</si>
  <si>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</si>
  <si>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</si>
  <si>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</si>
  <si>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</si>
  <si>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</si>
  <si>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</si>
  <si>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</si>
  <si>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</si>
  <si>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</si>
  <si>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</si>
  <si>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</si>
  <si>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</si>
  <si>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</si>
  <si>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</si>
  <si>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</si>
  <si>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</si>
  <si>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</si>
  <si>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</si>
  <si>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</si>
  <si>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</si>
  <si>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</si>
  <si>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</si>
  <si>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</si>
  <si>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</si>
  <si>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</si>
  <si>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</si>
  <si>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</si>
  <si>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</si>
  <si>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</si>
  <si>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</si>
  <si>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</si>
  <si>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</si>
  <si>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</si>
  <si>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</si>
  <si>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</si>
  <si>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</si>
  <si>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</si>
  <si>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</si>
  <si>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</si>
  <si>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</si>
  <si>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</si>
  <si>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</si>
  <si>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</si>
  <si>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</si>
  <si>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</si>
  <si>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</si>
  <si>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</si>
  <si>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</si>
  <si>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</si>
  <si>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</si>
  <si>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</si>
  <si>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</si>
  <si>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</si>
  <si>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</si>
  <si>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</si>
  <si>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</si>
  <si>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</si>
  <si>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</si>
  <si>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</si>
  <si>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</si>
  <si>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</si>
  <si>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</si>
  <si>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</si>
  <si>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</si>
  <si>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</si>
  <si>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</si>
  <si>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</si>
  <si>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</si>
  <si>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</si>
  <si>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</si>
  <si>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</si>
  <si>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</si>
  <si>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</si>
  <si>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</si>
  <si>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</si>
  <si>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</si>
  <si>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</si>
  <si>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</si>
  <si>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</si>
  <si>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</si>
  <si>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</si>
  <si>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</si>
  <si>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</si>
  <si>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</si>
  <si>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</si>
  <si>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</si>
  <si>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</si>
  <si>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</si>
  <si>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</si>
  <si>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</si>
  <si>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</si>
  <si>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</si>
  <si>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</si>
  <si>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</si>
  <si>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</si>
  <si>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</si>
  <si>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</si>
  <si>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</si>
  <si>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</si>
  <si>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</si>
  <si>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</si>
  <si>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</si>
  <si>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</si>
  <si>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</si>
  <si>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</si>
  <si>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</si>
  <si>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</si>
  <si>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</si>
  <si>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</si>
  <si>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</si>
  <si>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</si>
  <si>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</si>
  <si>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</si>
  <si>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</si>
  <si>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</si>
  <si>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</si>
  <si>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</si>
  <si>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</si>
  <si>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</si>
  <si>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</si>
  <si>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</si>
  <si>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</si>
  <si>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</si>
  <si>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</si>
  <si>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</si>
  <si>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</si>
  <si>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</si>
  <si>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</si>
  <si>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</si>
  <si>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</si>
  <si>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</si>
  <si>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</si>
  <si>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</si>
  <si>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</si>
  <si>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</si>
  <si>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</si>
  <si>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</si>
  <si>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</si>
  <si>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</si>
  <si>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</si>
  <si>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</si>
  <si>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</si>
  <si>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</si>
  <si>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</si>
  <si>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</si>
  <si>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</si>
  <si>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</si>
  <si>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</si>
  <si>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</si>
  <si>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</si>
  <si>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</si>
  <si>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</si>
  <si>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</si>
  <si>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</si>
  <si>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</si>
  <si>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</si>
  <si>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</si>
  <si>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</si>
  <si>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</si>
  <si>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</si>
  <si>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</si>
  <si>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</si>
  <si>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</si>
  <si>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</si>
  <si>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</si>
  <si>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</si>
  <si>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</si>
  <si>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</si>
  <si>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</si>
  <si>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</si>
  <si>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</si>
  <si>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</si>
  <si>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</si>
  <si>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</si>
  <si>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</si>
  <si>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</si>
  <si>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</si>
  <si>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</si>
  <si>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</si>
  <si>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</si>
  <si>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</si>
  <si>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</si>
  <si>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</si>
  <si>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</si>
  <si>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</si>
  <si>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</si>
  <si>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</si>
  <si>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</si>
  <si>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</si>
  <si>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</si>
  <si>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</si>
  <si>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</si>
  <si>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</si>
  <si>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</si>
  <si>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</si>
  <si>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</si>
  <si>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</si>
  <si>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</si>
  <si>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</si>
  <si>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</si>
  <si>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</si>
  <si>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</si>
  <si>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</si>
  <si>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</si>
  <si>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</si>
  <si>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</si>
  <si>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</si>
  <si>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</si>
  <si>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</si>
  <si>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</si>
  <si>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</si>
  <si>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</si>
  <si>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</si>
  <si>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</si>
  <si>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</si>
  <si>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</si>
  <si>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</si>
  <si>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</si>
  <si>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</si>
  <si>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</si>
  <si>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</si>
  <si>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</si>
  <si>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</si>
  <si>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</si>
  <si>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</si>
  <si>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</si>
  <si>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</si>
  <si>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</si>
  <si>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</si>
  <si>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</si>
  <si>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</si>
  <si>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</si>
  <si>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</si>
  <si>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</si>
  <si>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</si>
  <si>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</si>
  <si>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</si>
  <si>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</si>
  <si>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</si>
  <si>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</si>
  <si>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</si>
  <si>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</si>
  <si>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</si>
  <si>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</si>
  <si>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</si>
  <si>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</si>
  <si>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</si>
  <si>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</si>
  <si>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</si>
  <si>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</si>
  <si>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</si>
  <si>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</si>
  <si>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</si>
  <si>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</si>
  <si>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</si>
  <si>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</si>
  <si>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</si>
  <si>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</si>
  <si>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</si>
  <si>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</si>
  <si>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</si>
  <si>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</si>
  <si>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</si>
  <si>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</si>
  <si>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</si>
  <si>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</si>
  <si>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</si>
  <si>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</si>
  <si>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</si>
  <si>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</si>
  <si>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</si>
  <si>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</si>
  <si>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</si>
  <si>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</si>
  <si>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</si>
  <si>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</si>
  <si>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</si>
  <si>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</si>
  <si>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</si>
  <si>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</si>
  <si>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</si>
  <si>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</si>
  <si>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</si>
  <si>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</si>
  <si>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</si>
  <si>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</si>
  <si>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</si>
  <si>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</si>
  <si>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</si>
  <si>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</si>
  <si>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</si>
  <si>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</si>
  <si>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</si>
  <si>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</si>
  <si>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</si>
  <si>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</si>
  <si>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</si>
  <si>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</si>
  <si>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</si>
  <si>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</si>
  <si>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</si>
  <si>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</si>
  <si>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</si>
  <si>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</si>
  <si>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</si>
  <si>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</si>
  <si>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</si>
  <si>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</si>
  <si>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</si>
  <si>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</si>
  <si>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</si>
  <si>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</si>
  <si>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</si>
  <si>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</si>
  <si>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</si>
  <si>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</si>
  <si>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</si>
  <si>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</si>
  <si>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</si>
  <si>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</si>
  <si>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</si>
  <si>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</si>
  <si>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</si>
  <si>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</si>
  <si>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</si>
  <si>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</si>
  <si>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</si>
  <si>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</si>
  <si>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</si>
  <si>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</si>
  <si>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</si>
  <si>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</si>
  <si>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</si>
  <si>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</si>
  <si>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</si>
  <si>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</si>
  <si>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</si>
  <si>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</si>
  <si>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</si>
  <si>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</si>
  <si>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</si>
  <si>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</si>
  <si>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</si>
  <si>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</si>
  <si>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</si>
  <si>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</si>
  <si>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</si>
  <si>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</si>
  <si>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</si>
  <si>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</si>
  <si>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</si>
  <si>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</si>
  <si>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</si>
  <si>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</si>
  <si>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</si>
  <si>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</si>
  <si>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</si>
  <si>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</si>
  <si>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</si>
  <si>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</si>
  <si>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</si>
  <si>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</si>
  <si>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</si>
  <si>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</si>
  <si>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</si>
  <si>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</si>
  <si>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</si>
  <si>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</si>
  <si>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</si>
  <si>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</si>
  <si>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</si>
  <si>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</si>
  <si>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</si>
  <si>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</si>
  <si>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</si>
  <si>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</si>
  <si>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</si>
  <si>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</si>
  <si>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</si>
  <si>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</si>
  <si>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</si>
  <si>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</si>
  <si>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</si>
  <si>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</si>
  <si>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</si>
  <si>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</si>
  <si>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</si>
  <si>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</si>
  <si>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</si>
  <si>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</si>
  <si>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</si>
  <si>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</si>
  <si>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</si>
  <si>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</si>
  <si>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</si>
  <si>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</si>
  <si>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</si>
  <si>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</si>
  <si>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</si>
  <si>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</si>
  <si>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</si>
  <si>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</si>
  <si>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</si>
  <si>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</si>
  <si>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</si>
  <si>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</si>
  <si>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</si>
  <si>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</si>
  <si>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</si>
  <si>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</si>
  <si>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</si>
  <si>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</si>
  <si>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</si>
  <si>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</si>
  <si>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</si>
  <si>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</si>
  <si>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</si>
  <si>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</si>
  <si>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</si>
  <si>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</si>
  <si>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</si>
  <si>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</si>
  <si>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</si>
  <si>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</si>
  <si>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</si>
  <si>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</si>
  <si>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</si>
  <si>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</si>
  <si>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</si>
  <si>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</si>
  <si>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</si>
  <si>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</si>
  <si>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</si>
  <si>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</si>
  <si>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</si>
  <si>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</si>
  <si>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</si>
  <si>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</si>
  <si>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</si>
  <si>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</si>
  <si>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</si>
  <si>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</si>
  <si>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</si>
  <si>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</si>
  <si>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</si>
  <si>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</si>
  <si>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</si>
  <si>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</si>
  <si>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</si>
  <si>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</si>
  <si>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</si>
  <si>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</si>
  <si>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</si>
  <si>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</si>
  <si>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</si>
  <si>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</si>
  <si>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</si>
  <si>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</si>
  <si>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</si>
  <si>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</si>
  <si>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</si>
  <si>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</si>
  <si>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</si>
  <si>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</si>
  <si>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</si>
  <si>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</si>
  <si>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</si>
  <si>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</si>
  <si>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</si>
  <si>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</si>
  <si>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</si>
  <si>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</si>
  <si>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</si>
  <si>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</si>
  <si>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</si>
  <si>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</si>
  <si>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</si>
  <si>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</si>
  <si>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</si>
  <si>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</si>
  <si>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</si>
  <si>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</si>
  <si>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</si>
  <si>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</si>
  <si>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</si>
  <si>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</si>
  <si>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</si>
  <si>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</si>
  <si>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</si>
  <si>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</si>
  <si>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</si>
  <si>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</si>
  <si>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</si>
  <si>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</si>
  <si>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</si>
  <si>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</si>
  <si>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</si>
  <si>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</si>
  <si>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</si>
  <si>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</si>
  <si>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</si>
  <si>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</si>
  <si>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</si>
  <si>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</si>
  <si>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</si>
  <si>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</si>
  <si>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</si>
  <si>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</si>
  <si>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</si>
  <si>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</si>
  <si>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</si>
  <si>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</si>
  <si>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</si>
  <si>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</si>
  <si>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</si>
  <si>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</si>
  <si>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</si>
  <si>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</si>
  <si>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</si>
  <si>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</si>
  <si>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</si>
  <si>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</si>
  <si>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</si>
  <si>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</si>
  <si>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</si>
  <si>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</si>
  <si>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</si>
  <si>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</si>
  <si>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</si>
  <si>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</si>
  <si>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</si>
  <si>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</si>
  <si>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</si>
  <si>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</si>
  <si>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</si>
  <si>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</si>
  <si>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</si>
  <si>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</si>
  <si>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</si>
  <si>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</si>
  <si>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</si>
  <si>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</si>
  <si>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</si>
  <si>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</si>
  <si>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</si>
  <si>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</si>
  <si>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</si>
  <si>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</si>
  <si>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</si>
  <si>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</si>
  <si>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</si>
  <si>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</si>
  <si>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</si>
  <si>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</si>
  <si>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</si>
  <si>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</si>
  <si>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</si>
  <si>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</si>
  <si>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</si>
  <si>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</si>
  <si>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</si>
  <si>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</si>
  <si>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</si>
  <si>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</si>
  <si>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</si>
  <si>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</si>
  <si>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</si>
  <si>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</si>
  <si>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</si>
  <si>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</si>
  <si>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</si>
  <si>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</si>
  <si>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</si>
  <si>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</si>
  <si>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</si>
  <si>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</si>
  <si>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</si>
  <si>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</si>
  <si>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</si>
  <si>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</si>
  <si>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</si>
  <si>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</si>
  <si>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</si>
  <si>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</si>
  <si>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</si>
  <si>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</si>
  <si>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</si>
  <si>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</si>
  <si>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</si>
  <si>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</si>
  <si>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</si>
  <si>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</si>
  <si>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</si>
  <si>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</si>
  <si>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</si>
  <si>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</si>
  <si>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</si>
  <si>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</si>
  <si>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</si>
  <si>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</si>
  <si>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</si>
  <si>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</si>
  <si>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</si>
  <si>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</si>
  <si>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</si>
  <si>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</si>
  <si>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</si>
  <si>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</si>
  <si>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</si>
  <si>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</si>
  <si>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</si>
  <si>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</si>
  <si>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</si>
  <si>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</si>
  <si>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</si>
  <si>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</si>
  <si>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</si>
  <si>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</si>
  <si>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</si>
  <si>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</si>
  <si>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</si>
  <si>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</si>
  <si>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</si>
  <si>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</si>
  <si>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</si>
  <si>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</si>
  <si>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</si>
  <si>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</si>
  <si>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</si>
  <si>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</si>
  <si>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</si>
  <si>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</si>
  <si>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</si>
  <si>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</si>
  <si>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</si>
  <si>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</si>
  <si>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</si>
  <si>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</si>
  <si>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</si>
  <si>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</si>
  <si>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</si>
  <si>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</si>
  <si>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</si>
  <si>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</si>
  <si>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</si>
  <si>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</si>
  <si>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</si>
  <si>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</si>
  <si>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</si>
  <si>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</si>
  <si>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</si>
  <si>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</si>
  <si>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</si>
  <si>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</si>
  <si>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</si>
  <si>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</si>
  <si>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</si>
  <si>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</si>
  <si>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</si>
  <si>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</si>
  <si>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</si>
  <si>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</si>
  <si>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</si>
  <si>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</si>
  <si>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</si>
  <si>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</si>
  <si>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</si>
  <si>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</si>
  <si>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</si>
  <si>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</si>
  <si>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</si>
  <si>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</si>
  <si>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</si>
  <si>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</si>
  <si>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</si>
  <si>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</si>
  <si>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</si>
  <si>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</si>
  <si>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</si>
  <si>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</si>
  <si>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</si>
  <si>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</si>
  <si>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</si>
  <si>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</si>
  <si>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</si>
  <si>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</si>
  <si>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</si>
  <si>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</si>
  <si>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</si>
  <si>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</si>
  <si>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</si>
  <si>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</si>
  <si>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</si>
  <si>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</si>
  <si>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</si>
  <si>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</si>
  <si>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</si>
  <si>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</si>
  <si>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</si>
  <si>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</si>
  <si>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F473 - This is a combination of fees paid for workers' compensation, unemployement, and attestation fees.</t>
  </si>
  <si>
    <t>07/10</t>
  </si>
  <si>
    <t>01/26</t>
  </si>
  <si>
    <t>H473 - Adjustment to recognize deferred revenue</t>
  </si>
  <si>
    <t>G469 - Adjustment to recognize inventory</t>
  </si>
  <si>
    <t>G473 - Adjustment to recognize deferred revenue</t>
  </si>
  <si>
    <t>Newfound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</si>
</sst>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4" t="s">
        <v>918</v>
      </c>
      <c r="B2" s="21">
        <v>388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832890.95</v>
      </c>
      <c r="G9" s="18">
        <f>63674.36+188</f>
        <v>63862.36</v>
      </c>
      <c r="H9" s="18">
        <v>0</v>
      </c>
      <c r="I9" s="18">
        <v>0</v>
      </c>
      <c r="J9" s="66">
        <f>SUM(I439)</f>
        <v>133396.37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555645.14-146868.68</f>
        <v>408776.46</v>
      </c>
      <c r="G10" s="18">
        <v>0</v>
      </c>
      <c r="H10" s="18">
        <v>0</v>
      </c>
      <c r="I10" s="18">
        <v>0</v>
      </c>
      <c r="J10" s="66">
        <f>SUM(I440)</f>
        <v>238075.63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768671.66-640875.69+ (110000-60000)</f>
        <v>177795.97000000009</v>
      </c>
      <c r="G12" s="18">
        <f>22573.17+70984.71</f>
        <v>93557.88</v>
      </c>
      <c r="H12" s="18">
        <f>63608.62</f>
        <v>63608.62</v>
      </c>
      <c r="I12" s="18">
        <v>0</v>
      </c>
      <c r="J12" s="66">
        <f>SUM(I441)</f>
        <v>60000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817464.84</f>
        <v>817464.84</v>
      </c>
      <c r="G13" s="18">
        <f>35300.68+21319</f>
        <v>56619.68</v>
      </c>
      <c r="H13" s="18">
        <v>92329.29</v>
      </c>
      <c r="I13" s="18">
        <v>0</v>
      </c>
      <c r="J13" s="66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11544.86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2236928.2199999997</v>
      </c>
      <c r="G19" s="41">
        <f>SUM(G9:G18)</f>
        <v>225584.77999999997</v>
      </c>
      <c r="H19" s="41">
        <f>SUM(H9:H18)</f>
        <v>155937.91</v>
      </c>
      <c r="I19" s="41">
        <f>SUM(I9:I18)</f>
        <v>0</v>
      </c>
      <c r="J19" s="41">
        <f>SUM(J9:J18)</f>
        <v>431472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60000+22573.17+70984.71</f>
        <v>153557.88</v>
      </c>
      <c r="G22" s="18">
        <f>183868.74+7535.85</f>
        <v>191404.59</v>
      </c>
      <c r="H22" s="18">
        <v>0</v>
      </c>
      <c r="I22" s="18">
        <v>0</v>
      </c>
      <c r="J22" s="66">
        <f>SUM(I448)</f>
        <v>50000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683832.67-(649110-640876)</f>
        <v>675598.67</v>
      </c>
      <c r="G28" s="18">
        <f>10565.75-(6625-7536)</f>
        <v>11476.75</v>
      </c>
      <c r="H28" s="18">
        <v>33821.32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13763.65</v>
      </c>
      <c r="H30" s="18">
        <v>63515.95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829156.55</v>
      </c>
      <c r="G32" s="41">
        <f>SUM(G22:G31)</f>
        <v>216644.99</v>
      </c>
      <c r="H32" s="41">
        <f>SUM(H22:H31)</f>
        <v>97337.26999999999</v>
      </c>
      <c r="I32" s="41">
        <f>SUM(I22:I31)</f>
        <v>0</v>
      </c>
      <c r="J32" s="41">
        <f>SUM(J22:J31)</f>
        <v>50000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8939.7900000000009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115494.82999999997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99999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f>51723.97+6876.67</f>
        <v>58600.639999999999</v>
      </c>
      <c r="I48" s="18">
        <v>0</v>
      </c>
      <c r="J48" s="13">
        <f>SUM(I459)</f>
        <v>265977.17000000004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957772.67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1407771.67</v>
      </c>
      <c r="G51" s="41">
        <f>SUM(G35:G50)</f>
        <v>8939.7900000000009</v>
      </c>
      <c r="H51" s="41">
        <f>SUM(H35:H50)</f>
        <v>58600.639999999999</v>
      </c>
      <c r="I51" s="41">
        <f>SUM(I35:I50)</f>
        <v>0</v>
      </c>
      <c r="J51" s="41">
        <f>SUM(J35:J50)</f>
        <v>381472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2236928.2199999997</v>
      </c>
      <c r="G52" s="41">
        <f>G51+G32</f>
        <v>225584.78</v>
      </c>
      <c r="H52" s="41">
        <f>H51+H32</f>
        <v>155937.90999999997</v>
      </c>
      <c r="I52" s="41">
        <f>I51+I32</f>
        <v>0</v>
      </c>
      <c r="J52" s="41">
        <f>J51+J32</f>
        <v>431472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11481906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11481906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473234.46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130588.25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603822.71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3131.32</v>
      </c>
      <c r="G96" s="18">
        <v>47.5</v>
      </c>
      <c r="H96" s="18">
        <v>0</v>
      </c>
      <c r="I96" s="18">
        <v>0</v>
      </c>
      <c r="J96" s="18">
        <v>349.94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235487.56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1762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2126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6017.53+250271.19</f>
        <v>256288.72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46904.12</v>
      </c>
      <c r="G110" s="18">
        <v>0</v>
      </c>
      <c r="H110" s="18">
        <v>53530.61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310212.15999999997</v>
      </c>
      <c r="G111" s="41">
        <f>SUM(G96:G110)</f>
        <v>235535.06</v>
      </c>
      <c r="H111" s="41">
        <f>SUM(H96:H110)</f>
        <v>53530.61</v>
      </c>
      <c r="I111" s="41">
        <f>SUM(I96:I110)</f>
        <v>0</v>
      </c>
      <c r="J111" s="41">
        <f>SUM(J96:J110)</f>
        <v>349.94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12395940.870000001</v>
      </c>
      <c r="G112" s="41">
        <f>G60+G111</f>
        <v>235535.06</v>
      </c>
      <c r="H112" s="41">
        <f>H60+H79+H94+H111</f>
        <v>53530.61</v>
      </c>
      <c r="I112" s="41">
        <f>I60+I111</f>
        <v>0</v>
      </c>
      <c r="J112" s="41">
        <f>J60+J111</f>
        <v>349.94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3446324.01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4039391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7485715.0099999998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97426.2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60603.58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8142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6970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166171.78</v>
      </c>
      <c r="G136" s="41">
        <f>SUM(G123:G135)</f>
        <v>6970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7651886.79</v>
      </c>
      <c r="G140" s="41">
        <f>G121+SUM(G136:G137)</f>
        <v>6970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413391.83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122207.91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295451.64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325012.34999999998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331179.83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96962.68</v>
      </c>
      <c r="G161" s="18">
        <v>0</v>
      </c>
      <c r="H161" s="18">
        <v>347675.59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428142.51</v>
      </c>
      <c r="G162" s="41">
        <f>SUM(G150:G161)</f>
        <v>295451.64</v>
      </c>
      <c r="H162" s="41">
        <f>SUM(H150:H161)</f>
        <v>1208287.68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/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2805.3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430947.81</v>
      </c>
      <c r="G169" s="41">
        <f>G147+G162+SUM(G163:G168)</f>
        <v>295451.64</v>
      </c>
      <c r="H169" s="41">
        <f>H147+H162+SUM(H163:H168)</f>
        <v>1208287.68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25000+70984.71</f>
        <v>95984.71</v>
      </c>
      <c r="H179" s="18">
        <v>0</v>
      </c>
      <c r="I179" s="18">
        <v>0</v>
      </c>
      <c r="J179" s="18">
        <v>60000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95984.71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95984.71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20478775.469999999</v>
      </c>
      <c r="G193" s="47">
        <f>G112+G140+G169+G192</f>
        <v>633941.40999999992</v>
      </c>
      <c r="H193" s="47">
        <f>H112+H140+H169+H192</f>
        <v>1261818.29</v>
      </c>
      <c r="I193" s="47">
        <f>I112+I140+I169+I192</f>
        <v>0</v>
      </c>
      <c r="J193" s="47">
        <f>J112+J140+J192</f>
        <v>60349.94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2079871.38</v>
      </c>
      <c r="G197" s="18">
        <v>1032251.2800000001</v>
      </c>
      <c r="H197" s="18">
        <v>6028.4594978050918</v>
      </c>
      <c r="I197" s="18">
        <v>105916.07</v>
      </c>
      <c r="J197" s="18">
        <v>15458.32</v>
      </c>
      <c r="K197" s="18">
        <v>1039.5</v>
      </c>
      <c r="L197" s="19">
        <f>SUM(F197:K197)</f>
        <v>3240565.009497805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984434.84000000008</v>
      </c>
      <c r="G198" s="18">
        <v>454684.42</v>
      </c>
      <c r="H198" s="18">
        <v>1870.21</v>
      </c>
      <c r="I198" s="18">
        <v>7160.0999999999995</v>
      </c>
      <c r="J198" s="18">
        <v>5190.6499999999996</v>
      </c>
      <c r="K198" s="18">
        <v>1275.7</v>
      </c>
      <c r="L198" s="19">
        <f>SUM(F198:K198)</f>
        <v>1454615.92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36290.629999999997</v>
      </c>
      <c r="G200" s="18">
        <v>36962.340000000004</v>
      </c>
      <c r="H200" s="18">
        <v>13960.310000000001</v>
      </c>
      <c r="I200" s="18">
        <v>5794.44</v>
      </c>
      <c r="J200" s="18">
        <v>0</v>
      </c>
      <c r="K200" s="18">
        <v>0</v>
      </c>
      <c r="L200" s="19">
        <f>SUM(F200:K200)</f>
        <v>93007.72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570357.75000000012</v>
      </c>
      <c r="G202" s="18">
        <v>270926.81000000006</v>
      </c>
      <c r="H202" s="18">
        <v>263796.65121158917</v>
      </c>
      <c r="I202" s="18">
        <v>11462.291719051798</v>
      </c>
      <c r="J202" s="18">
        <v>2851.2317120280945</v>
      </c>
      <c r="K202" s="18">
        <v>0</v>
      </c>
      <c r="L202" s="19">
        <f t="shared" ref="L202:L208" si="0">SUM(F202:K202)</f>
        <v>1119394.7346426693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93905.15</v>
      </c>
      <c r="G203" s="18">
        <v>39550.949999999997</v>
      </c>
      <c r="H203" s="18">
        <v>35244.898624231784</v>
      </c>
      <c r="I203" s="18">
        <v>10037.525073748902</v>
      </c>
      <c r="J203" s="18">
        <v>82410.68912115891</v>
      </c>
      <c r="K203" s="18">
        <v>66160.22826953468</v>
      </c>
      <c r="L203" s="19">
        <f t="shared" si="0"/>
        <v>327309.44108867424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285736.87</v>
      </c>
      <c r="G204" s="18">
        <v>138987.94999999995</v>
      </c>
      <c r="H204" s="18">
        <v>39557.617743634786</v>
      </c>
      <c r="I204" s="18">
        <v>8093.9400000000005</v>
      </c>
      <c r="J204" s="18">
        <v>2086.8659877085165</v>
      </c>
      <c r="K204" s="18">
        <v>8482.4204670763829</v>
      </c>
      <c r="L204" s="19">
        <f t="shared" si="0"/>
        <v>482945.6641984196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406594.75</v>
      </c>
      <c r="G205" s="18">
        <v>189494.79000000004</v>
      </c>
      <c r="H205" s="18">
        <v>14900.509999999997</v>
      </c>
      <c r="I205" s="18">
        <v>4882.7199999999993</v>
      </c>
      <c r="J205" s="18">
        <v>2420.5700000000002</v>
      </c>
      <c r="K205" s="18">
        <v>1953</v>
      </c>
      <c r="L205" s="19">
        <f t="shared" si="0"/>
        <v>620246.34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202926.62999999998</v>
      </c>
      <c r="G207" s="18">
        <v>77436.430000000008</v>
      </c>
      <c r="H207" s="18">
        <v>141582.50755926242</v>
      </c>
      <c r="I207" s="18">
        <v>158842.4</v>
      </c>
      <c r="J207" s="18">
        <v>6051.33</v>
      </c>
      <c r="K207" s="18">
        <v>0</v>
      </c>
      <c r="L207" s="19">
        <f t="shared" si="0"/>
        <v>586839.29755926237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478456.82</v>
      </c>
      <c r="I208" s="18">
        <v>42544.75</v>
      </c>
      <c r="J208" s="18">
        <v>0</v>
      </c>
      <c r="K208" s="18">
        <v>0</v>
      </c>
      <c r="L208" s="19">
        <f t="shared" si="0"/>
        <v>521001.57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4660117.9999999991</v>
      </c>
      <c r="G211" s="41">
        <f t="shared" si="1"/>
        <v>2240294.9700000002</v>
      </c>
      <c r="H211" s="41">
        <f t="shared" si="1"/>
        <v>995397.9846365233</v>
      </c>
      <c r="I211" s="41">
        <f t="shared" si="1"/>
        <v>354734.23679280072</v>
      </c>
      <c r="J211" s="41">
        <f t="shared" si="1"/>
        <v>116469.65682089553</v>
      </c>
      <c r="K211" s="41">
        <f t="shared" si="1"/>
        <v>78910.848736611064</v>
      </c>
      <c r="L211" s="41">
        <f t="shared" si="1"/>
        <v>8445925.6969868299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1251805.43</v>
      </c>
      <c r="G215" s="18">
        <v>601258.46</v>
      </c>
      <c r="H215" s="18">
        <v>3144.742657945566</v>
      </c>
      <c r="I215" s="18">
        <v>42924.29</v>
      </c>
      <c r="J215" s="18">
        <v>23654.62</v>
      </c>
      <c r="K215" s="18">
        <v>1463.49</v>
      </c>
      <c r="L215" s="19">
        <f>SUM(F215:K215)</f>
        <v>1924251.0326579455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467567.06</v>
      </c>
      <c r="G216" s="18">
        <v>267436.55</v>
      </c>
      <c r="H216" s="18">
        <v>151510.25</v>
      </c>
      <c r="I216" s="18">
        <v>107.88</v>
      </c>
      <c r="J216" s="18">
        <v>2521.6799999999998</v>
      </c>
      <c r="K216" s="18">
        <v>600</v>
      </c>
      <c r="L216" s="19">
        <f>SUM(F216:K216)</f>
        <v>889743.42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54014.5</v>
      </c>
      <c r="G218" s="18">
        <v>14606.22</v>
      </c>
      <c r="H218" s="18">
        <v>10392</v>
      </c>
      <c r="I218" s="18">
        <v>7115.66</v>
      </c>
      <c r="J218" s="18">
        <v>7799.7999999999993</v>
      </c>
      <c r="K218" s="18">
        <v>2367.5</v>
      </c>
      <c r="L218" s="19">
        <f>SUM(F218:K218)</f>
        <v>96295.680000000008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226775.21000000002</v>
      </c>
      <c r="G220" s="18">
        <v>123703.07999999997</v>
      </c>
      <c r="H220" s="18">
        <v>49515.866014047409</v>
      </c>
      <c r="I220" s="18">
        <v>2920.4830170324849</v>
      </c>
      <c r="J220" s="18">
        <v>1201.8348024582967</v>
      </c>
      <c r="K220" s="18">
        <v>80</v>
      </c>
      <c r="L220" s="19">
        <f t="shared" ref="L220:L226" si="2">SUM(F220:K220)</f>
        <v>404196.47383353818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91072.56</v>
      </c>
      <c r="G221" s="18">
        <v>36384.1</v>
      </c>
      <c r="H221" s="18">
        <v>24260.052220280948</v>
      </c>
      <c r="I221" s="18">
        <v>8586.3277530289724</v>
      </c>
      <c r="J221" s="18">
        <v>39245.738901404744</v>
      </c>
      <c r="K221" s="18">
        <v>35832.026384284458</v>
      </c>
      <c r="L221" s="19">
        <f t="shared" si="2"/>
        <v>235380.80525899914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126869.54000000001</v>
      </c>
      <c r="G222" s="18">
        <v>60803.95</v>
      </c>
      <c r="H222" s="18">
        <v>17577.897568042143</v>
      </c>
      <c r="I222" s="18">
        <v>4028.52</v>
      </c>
      <c r="J222" s="18">
        <v>1120.8539244951712</v>
      </c>
      <c r="K222" s="18">
        <v>3377.9372691834942</v>
      </c>
      <c r="L222" s="19">
        <f t="shared" si="2"/>
        <v>213778.69876172079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180020.50999999998</v>
      </c>
      <c r="G223" s="18">
        <v>101650.1</v>
      </c>
      <c r="H223" s="18">
        <v>9035.3299999999981</v>
      </c>
      <c r="I223" s="18">
        <v>979.49</v>
      </c>
      <c r="J223" s="18">
        <v>3029.83</v>
      </c>
      <c r="K223" s="18">
        <v>1455</v>
      </c>
      <c r="L223" s="19">
        <f t="shared" si="2"/>
        <v>296170.26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121722.70000000001</v>
      </c>
      <c r="G225" s="18">
        <v>45387.06</v>
      </c>
      <c r="H225" s="18">
        <v>182424.88943546973</v>
      </c>
      <c r="I225" s="18">
        <v>92019.400000000009</v>
      </c>
      <c r="J225" s="18">
        <v>5883.78</v>
      </c>
      <c r="K225" s="18">
        <v>0</v>
      </c>
      <c r="L225" s="19">
        <f t="shared" si="2"/>
        <v>447437.82943546982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257744.18</v>
      </c>
      <c r="I226" s="18">
        <v>22684.62</v>
      </c>
      <c r="J226" s="18">
        <v>0</v>
      </c>
      <c r="K226" s="18">
        <v>0</v>
      </c>
      <c r="L226" s="19">
        <f t="shared" si="2"/>
        <v>280428.79999999999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2519847.5099999998</v>
      </c>
      <c r="G229" s="41">
        <f>SUM(G215:G228)</f>
        <v>1251229.52</v>
      </c>
      <c r="H229" s="41">
        <f>SUM(H215:H228)</f>
        <v>705605.2078957858</v>
      </c>
      <c r="I229" s="41">
        <f>SUM(I215:I228)</f>
        <v>181366.67077006146</v>
      </c>
      <c r="J229" s="41">
        <f>SUM(J215:J228)</f>
        <v>84458.137628358207</v>
      </c>
      <c r="K229" s="41">
        <f t="shared" si="3"/>
        <v>45175.95365346795</v>
      </c>
      <c r="L229" s="41">
        <f t="shared" si="3"/>
        <v>4787682.9999476727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1541733.03</v>
      </c>
      <c r="G233" s="18">
        <v>761077.45</v>
      </c>
      <c r="H233" s="18">
        <v>9864.0678442493427</v>
      </c>
      <c r="I233" s="18">
        <v>59078.920000000006</v>
      </c>
      <c r="J233" s="18">
        <v>51568.750000000007</v>
      </c>
      <c r="K233" s="18">
        <v>5854.98</v>
      </c>
      <c r="L233" s="19">
        <f>SUM(F233:K233)</f>
        <v>2429177.1978442492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591148.04</v>
      </c>
      <c r="G234" s="18">
        <v>337933.08</v>
      </c>
      <c r="H234" s="18">
        <v>125499.33</v>
      </c>
      <c r="I234" s="18">
        <v>4985.3600000000006</v>
      </c>
      <c r="J234" s="18">
        <v>1263.4000000000001</v>
      </c>
      <c r="K234" s="18">
        <v>234.95</v>
      </c>
      <c r="L234" s="19">
        <f>SUM(F234:K234)</f>
        <v>1061064.1600000001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16508.22</v>
      </c>
      <c r="I235" s="18">
        <v>0</v>
      </c>
      <c r="J235" s="18">
        <v>0</v>
      </c>
      <c r="K235" s="18">
        <v>0</v>
      </c>
      <c r="L235" s="19">
        <f>SUM(F235:K235)</f>
        <v>16508.22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187954.66</v>
      </c>
      <c r="G236" s="18">
        <v>47095.63</v>
      </c>
      <c r="H236" s="18">
        <v>38157.53</v>
      </c>
      <c r="I236" s="18">
        <v>23988.560000000001</v>
      </c>
      <c r="J236" s="18">
        <v>17678.84</v>
      </c>
      <c r="K236" s="18">
        <v>11406.5</v>
      </c>
      <c r="L236" s="19">
        <f>SUM(F236:K236)</f>
        <v>326281.72000000003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266180.32</v>
      </c>
      <c r="G238" s="18">
        <v>106526.79</v>
      </c>
      <c r="H238" s="18">
        <v>87629.542774363479</v>
      </c>
      <c r="I238" s="18">
        <v>8261.3452639157167</v>
      </c>
      <c r="J238" s="18">
        <v>4114.4034855136088</v>
      </c>
      <c r="K238" s="18">
        <v>145</v>
      </c>
      <c r="L238" s="19">
        <f t="shared" ref="L238:L244" si="4">SUM(F238:K238)</f>
        <v>472857.40152379277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84474.13</v>
      </c>
      <c r="G239" s="18">
        <v>52043.07</v>
      </c>
      <c r="H239" s="18">
        <v>211352.99915548728</v>
      </c>
      <c r="I239" s="18">
        <v>17614.447173222125</v>
      </c>
      <c r="J239" s="18">
        <v>60576.671977436345</v>
      </c>
      <c r="K239" s="18">
        <v>56818.91534618086</v>
      </c>
      <c r="L239" s="19">
        <f t="shared" si="4"/>
        <v>482880.23365232663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192938.31</v>
      </c>
      <c r="G240" s="18">
        <v>91667.47</v>
      </c>
      <c r="H240" s="18">
        <v>18879.474688323091</v>
      </c>
      <c r="I240" s="18">
        <v>5404.66</v>
      </c>
      <c r="J240" s="18">
        <v>1451.2600877963127</v>
      </c>
      <c r="K240" s="18">
        <v>4419.9222637401235</v>
      </c>
      <c r="L240" s="19">
        <f t="shared" si="4"/>
        <v>314761.09703985951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215595.7</v>
      </c>
      <c r="G241" s="18">
        <v>109940.31000000001</v>
      </c>
      <c r="H241" s="18">
        <v>12092.68</v>
      </c>
      <c r="I241" s="18">
        <v>4358.82</v>
      </c>
      <c r="J241" s="18">
        <v>5024</v>
      </c>
      <c r="K241" s="18">
        <v>10409</v>
      </c>
      <c r="L241" s="19">
        <f t="shared" si="4"/>
        <v>357420.51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171220.13</v>
      </c>
      <c r="G243" s="18">
        <v>76109.22</v>
      </c>
      <c r="H243" s="18">
        <v>212966.34300526782</v>
      </c>
      <c r="I243" s="18">
        <v>120863.47</v>
      </c>
      <c r="J243" s="18">
        <v>3537.0899999999997</v>
      </c>
      <c r="K243" s="18">
        <v>0</v>
      </c>
      <c r="L243" s="19">
        <f t="shared" si="4"/>
        <v>584696.25300526782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381851.4</v>
      </c>
      <c r="I244" s="18">
        <v>29271.59</v>
      </c>
      <c r="J244" s="18">
        <v>0</v>
      </c>
      <c r="K244" s="18">
        <v>0</v>
      </c>
      <c r="L244" s="19">
        <f t="shared" si="4"/>
        <v>411122.99000000005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3251244.3200000003</v>
      </c>
      <c r="G247" s="41">
        <f t="shared" si="5"/>
        <v>1582393.02</v>
      </c>
      <c r="H247" s="41">
        <f t="shared" si="5"/>
        <v>1114801.5874676909</v>
      </c>
      <c r="I247" s="41">
        <f t="shared" si="5"/>
        <v>273827.17243713787</v>
      </c>
      <c r="J247" s="41">
        <f t="shared" si="5"/>
        <v>145214.41555074629</v>
      </c>
      <c r="K247" s="41">
        <f t="shared" si="5"/>
        <v>89289.267609920993</v>
      </c>
      <c r="L247" s="41">
        <f t="shared" si="5"/>
        <v>6456769.7830654969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10431209.829999998</v>
      </c>
      <c r="G257" s="41">
        <f t="shared" si="8"/>
        <v>5073917.51</v>
      </c>
      <c r="H257" s="41">
        <f t="shared" si="8"/>
        <v>2815804.7800000003</v>
      </c>
      <c r="I257" s="41">
        <f t="shared" si="8"/>
        <v>809928.08000000007</v>
      </c>
      <c r="J257" s="41">
        <f t="shared" si="8"/>
        <v>346142.21</v>
      </c>
      <c r="K257" s="41">
        <f t="shared" si="8"/>
        <v>213376.07</v>
      </c>
      <c r="L257" s="41">
        <f t="shared" si="8"/>
        <v>19690378.48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177138.55</v>
      </c>
      <c r="L260" s="19">
        <f>SUM(F260:K260)</f>
        <v>177138.55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105494.84000000001</v>
      </c>
      <c r="L261" s="19">
        <f>SUM(F261:K261)</f>
        <v>105494.84000000001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25000+70984.71</f>
        <v>95984.71</v>
      </c>
      <c r="L263" s="19">
        <f>SUM(F263:K263)</f>
        <v>95984.71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438618.10000000003</v>
      </c>
      <c r="L270" s="41">
        <f t="shared" si="9"/>
        <v>438618.10000000003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10431209.829999998</v>
      </c>
      <c r="G271" s="42">
        <f t="shared" si="11"/>
        <v>5073917.51</v>
      </c>
      <c r="H271" s="42">
        <f t="shared" si="11"/>
        <v>2815804.7800000003</v>
      </c>
      <c r="I271" s="42">
        <f t="shared" si="11"/>
        <v>809928.08000000007</v>
      </c>
      <c r="J271" s="42">
        <f t="shared" si="11"/>
        <v>346142.21</v>
      </c>
      <c r="K271" s="42">
        <f t="shared" si="11"/>
        <v>651994.17000000004</v>
      </c>
      <c r="L271" s="42">
        <f t="shared" si="11"/>
        <v>20128996.580000002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243307.16</v>
      </c>
      <c r="G276" s="18">
        <v>79228.289999999994</v>
      </c>
      <c r="H276" s="18">
        <v>1200</v>
      </c>
      <c r="I276" s="18">
        <v>6985.5599999999995</v>
      </c>
      <c r="J276" s="18">
        <v>2423.0700000000002</v>
      </c>
      <c r="K276" s="18">
        <v>0</v>
      </c>
      <c r="L276" s="19">
        <f>SUM(F276:K276)</f>
        <v>333144.08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18745.379999999997</v>
      </c>
      <c r="G277" s="18">
        <v>657.88</v>
      </c>
      <c r="H277" s="18">
        <v>1269.01</v>
      </c>
      <c r="I277" s="18">
        <v>0</v>
      </c>
      <c r="J277" s="18">
        <v>0</v>
      </c>
      <c r="K277" s="18">
        <v>0</v>
      </c>
      <c r="L277" s="19">
        <f>SUM(F277:K277)</f>
        <v>20672.269999999997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164453.51</v>
      </c>
      <c r="G279" s="18">
        <v>9448.98</v>
      </c>
      <c r="H279" s="18">
        <v>8918.119999999999</v>
      </c>
      <c r="I279" s="18">
        <v>7436.1399999999994</v>
      </c>
      <c r="J279" s="18">
        <v>0</v>
      </c>
      <c r="K279" s="18">
        <v>1495.5</v>
      </c>
      <c r="L279" s="19">
        <f>SUM(F279:K279)</f>
        <v>191752.25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67268.77</v>
      </c>
      <c r="G281" s="18">
        <v>5146.1099999999997</v>
      </c>
      <c r="H281" s="18">
        <v>41971.05</v>
      </c>
      <c r="I281" s="18">
        <v>328</v>
      </c>
      <c r="J281" s="18">
        <v>0</v>
      </c>
      <c r="K281" s="18">
        <v>0</v>
      </c>
      <c r="L281" s="19">
        <f t="shared" ref="L281:L287" si="12">SUM(F281:K281)</f>
        <v>114713.93000000001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10905.8</v>
      </c>
      <c r="G282" s="18">
        <v>3522.87</v>
      </c>
      <c r="H282" s="18">
        <v>33796.199999999997</v>
      </c>
      <c r="I282" s="18">
        <v>7214.61</v>
      </c>
      <c r="J282" s="18">
        <v>29366.129999999997</v>
      </c>
      <c r="K282" s="18">
        <v>1612.5</v>
      </c>
      <c r="L282" s="19">
        <f t="shared" si="12"/>
        <v>86418.109999999986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5316.89</v>
      </c>
      <c r="G283" s="18">
        <v>464.17</v>
      </c>
      <c r="H283" s="18">
        <v>1727.92</v>
      </c>
      <c r="I283" s="18">
        <v>0</v>
      </c>
      <c r="J283" s="18">
        <v>0</v>
      </c>
      <c r="K283" s="18">
        <v>0</v>
      </c>
      <c r="L283" s="19">
        <f t="shared" si="12"/>
        <v>7508.9800000000005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3506.4900000000002</v>
      </c>
      <c r="I287" s="18">
        <v>0</v>
      </c>
      <c r="J287" s="18">
        <v>0</v>
      </c>
      <c r="K287" s="18">
        <v>0</v>
      </c>
      <c r="L287" s="19">
        <f t="shared" si="12"/>
        <v>3506.4900000000002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509997.51000000007</v>
      </c>
      <c r="G290" s="42">
        <f t="shared" si="13"/>
        <v>98468.299999999988</v>
      </c>
      <c r="H290" s="42">
        <f t="shared" si="13"/>
        <v>92388.790000000008</v>
      </c>
      <c r="I290" s="42">
        <f t="shared" si="13"/>
        <v>21964.309999999998</v>
      </c>
      <c r="J290" s="42">
        <f t="shared" si="13"/>
        <v>31789.199999999997</v>
      </c>
      <c r="K290" s="42">
        <f t="shared" si="13"/>
        <v>3108</v>
      </c>
      <c r="L290" s="41">
        <f t="shared" si="13"/>
        <v>757716.1100000001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67503.350000000006</v>
      </c>
      <c r="G296" s="18">
        <v>35849.67</v>
      </c>
      <c r="H296" s="18">
        <v>721.03</v>
      </c>
      <c r="I296" s="18">
        <v>0</v>
      </c>
      <c r="J296" s="18">
        <v>0</v>
      </c>
      <c r="K296" s="18">
        <v>0</v>
      </c>
      <c r="L296" s="19">
        <f>SUM(F296:K296)</f>
        <v>104074.05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30501.909999999996</v>
      </c>
      <c r="G298" s="18">
        <v>236.07</v>
      </c>
      <c r="H298" s="18">
        <v>3094.67</v>
      </c>
      <c r="I298" s="18">
        <v>2529.91</v>
      </c>
      <c r="J298" s="18">
        <v>0</v>
      </c>
      <c r="K298" s="18">
        <v>860.5</v>
      </c>
      <c r="L298" s="19">
        <f>SUM(F298:K298)</f>
        <v>37223.06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23847.19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23847.19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4033.13</v>
      </c>
      <c r="G301" s="18">
        <v>916.36</v>
      </c>
      <c r="H301" s="18">
        <v>19202.39</v>
      </c>
      <c r="I301" s="18">
        <v>3275.9</v>
      </c>
      <c r="J301" s="18">
        <v>0</v>
      </c>
      <c r="K301" s="18">
        <v>0</v>
      </c>
      <c r="L301" s="19">
        <f t="shared" si="14"/>
        <v>27427.78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2083.33</v>
      </c>
      <c r="G302" s="18">
        <v>0</v>
      </c>
      <c r="H302" s="18">
        <v>640.35</v>
      </c>
      <c r="I302" s="18">
        <v>0</v>
      </c>
      <c r="J302" s="18">
        <v>0</v>
      </c>
      <c r="K302" s="18">
        <v>0</v>
      </c>
      <c r="L302" s="19">
        <f t="shared" si="14"/>
        <v>2723.68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1678.87</v>
      </c>
      <c r="I306" s="18">
        <v>0</v>
      </c>
      <c r="J306" s="18">
        <v>0</v>
      </c>
      <c r="K306" s="18">
        <v>0</v>
      </c>
      <c r="L306" s="19">
        <f t="shared" si="14"/>
        <v>1678.87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104121.72000000002</v>
      </c>
      <c r="G309" s="42">
        <f t="shared" si="15"/>
        <v>37002.1</v>
      </c>
      <c r="H309" s="42">
        <f t="shared" si="15"/>
        <v>49184.5</v>
      </c>
      <c r="I309" s="42">
        <f t="shared" si="15"/>
        <v>5805.8099999999995</v>
      </c>
      <c r="J309" s="42">
        <f t="shared" si="15"/>
        <v>0</v>
      </c>
      <c r="K309" s="42">
        <f t="shared" si="15"/>
        <v>860.5</v>
      </c>
      <c r="L309" s="41">
        <f t="shared" si="15"/>
        <v>196974.62999999998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6980.4</v>
      </c>
      <c r="G314" s="18">
        <v>1594.21</v>
      </c>
      <c r="H314" s="18">
        <v>0</v>
      </c>
      <c r="I314" s="18">
        <v>11018.72</v>
      </c>
      <c r="J314" s="18">
        <v>488.93</v>
      </c>
      <c r="K314" s="18">
        <v>0</v>
      </c>
      <c r="L314" s="19">
        <f>SUM(F314:K314)</f>
        <v>20082.260000000002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6059.07</v>
      </c>
      <c r="G315" s="18">
        <v>463.51</v>
      </c>
      <c r="H315" s="18">
        <v>1427.84</v>
      </c>
      <c r="I315" s="18">
        <v>792.02</v>
      </c>
      <c r="J315" s="18">
        <v>645</v>
      </c>
      <c r="K315" s="18">
        <v>0</v>
      </c>
      <c r="L315" s="19">
        <f>SUM(F315:K315)</f>
        <v>9387.44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25470.080000000002</v>
      </c>
      <c r="G317" s="18">
        <v>292.72000000000003</v>
      </c>
      <c r="H317" s="18">
        <v>9043.0499999999993</v>
      </c>
      <c r="I317" s="18">
        <v>3017.09</v>
      </c>
      <c r="J317" s="18">
        <v>0</v>
      </c>
      <c r="K317" s="18">
        <v>6187.64</v>
      </c>
      <c r="L317" s="19">
        <f>SUM(F317:K317)</f>
        <v>44010.58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13500</v>
      </c>
      <c r="G319" s="18">
        <v>1032.75</v>
      </c>
      <c r="H319" s="18">
        <v>29570.51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44103.259999999995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9451.08</v>
      </c>
      <c r="G320" s="18">
        <v>7317.8899999999994</v>
      </c>
      <c r="H320" s="18">
        <v>41137.19</v>
      </c>
      <c r="I320" s="18">
        <v>4062.1099999999997</v>
      </c>
      <c r="J320" s="18">
        <v>0</v>
      </c>
      <c r="K320" s="18">
        <v>0</v>
      </c>
      <c r="L320" s="19">
        <f t="shared" si="16"/>
        <v>61968.270000000004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2583.33</v>
      </c>
      <c r="G321" s="18">
        <v>0</v>
      </c>
      <c r="H321" s="18">
        <v>794.03</v>
      </c>
      <c r="I321" s="18">
        <v>0</v>
      </c>
      <c r="J321" s="18">
        <v>0</v>
      </c>
      <c r="K321" s="18">
        <v>0</v>
      </c>
      <c r="L321" s="19">
        <f t="shared" si="16"/>
        <v>3377.3599999999997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2081.79</v>
      </c>
      <c r="I325" s="18">
        <v>0</v>
      </c>
      <c r="J325" s="18">
        <v>0</v>
      </c>
      <c r="K325" s="18">
        <v>0</v>
      </c>
      <c r="L325" s="19">
        <f t="shared" si="16"/>
        <v>2081.79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64043.960000000006</v>
      </c>
      <c r="G328" s="42">
        <f t="shared" si="17"/>
        <v>10701.08</v>
      </c>
      <c r="H328" s="42">
        <f t="shared" si="17"/>
        <v>84054.409999999989</v>
      </c>
      <c r="I328" s="42">
        <f t="shared" si="17"/>
        <v>18889.939999999999</v>
      </c>
      <c r="J328" s="42">
        <f t="shared" si="17"/>
        <v>1133.93</v>
      </c>
      <c r="K328" s="42">
        <f t="shared" si="17"/>
        <v>6187.64</v>
      </c>
      <c r="L328" s="41">
        <f t="shared" si="17"/>
        <v>185010.96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678163.19000000006</v>
      </c>
      <c r="G338" s="41">
        <f t="shared" si="20"/>
        <v>146171.47999999998</v>
      </c>
      <c r="H338" s="41">
        <f t="shared" si="20"/>
        <v>225627.7</v>
      </c>
      <c r="I338" s="41">
        <f t="shared" si="20"/>
        <v>46660.06</v>
      </c>
      <c r="J338" s="41">
        <f t="shared" si="20"/>
        <v>32923.129999999997</v>
      </c>
      <c r="K338" s="41">
        <f t="shared" si="20"/>
        <v>10156.14</v>
      </c>
      <c r="L338" s="41">
        <f t="shared" si="20"/>
        <v>1139701.7000000002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678163.19000000006</v>
      </c>
      <c r="G352" s="41">
        <f>G338</f>
        <v>146171.47999999998</v>
      </c>
      <c r="H352" s="41">
        <f>H338</f>
        <v>225627.7</v>
      </c>
      <c r="I352" s="41">
        <f>I338</f>
        <v>46660.06</v>
      </c>
      <c r="J352" s="41">
        <f>J338</f>
        <v>32923.129999999997</v>
      </c>
      <c r="K352" s="47">
        <f>K338+K351</f>
        <v>10156.14</v>
      </c>
      <c r="L352" s="41">
        <f>L338+L351</f>
        <v>1139701.7000000002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94339.47</v>
      </c>
      <c r="G358" s="18">
        <v>23852.83</v>
      </c>
      <c r="H358" s="18">
        <v>2501.44</v>
      </c>
      <c r="I358" s="18">
        <v>67414</v>
      </c>
      <c r="J358" s="18">
        <v>242.78000000000003</v>
      </c>
      <c r="K358" s="18">
        <v>32</v>
      </c>
      <c r="L358" s="13">
        <f>SUM(F358:K358)</f>
        <v>188382.52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48784.1</v>
      </c>
      <c r="G359" s="18">
        <v>7462.6900000000005</v>
      </c>
      <c r="H359" s="18">
        <v>1742.6499999999999</v>
      </c>
      <c r="I359" s="18">
        <v>74596.37</v>
      </c>
      <c r="J359" s="18">
        <v>3219.11</v>
      </c>
      <c r="K359" s="18">
        <v>342</v>
      </c>
      <c r="L359" s="19">
        <f>SUM(F359:K359)</f>
        <v>136146.91999999998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124305.74</v>
      </c>
      <c r="G360" s="18">
        <v>45569.279999999999</v>
      </c>
      <c r="H360" s="18">
        <v>5407.05</v>
      </c>
      <c r="I360" s="18">
        <v>156433.38999999998</v>
      </c>
      <c r="J360" s="18">
        <v>1603.5</v>
      </c>
      <c r="K360" s="18">
        <v>575</v>
      </c>
      <c r="L360" s="19">
        <f>SUM(F360:K360)</f>
        <v>333893.95999999996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267429.31</v>
      </c>
      <c r="G362" s="47">
        <f t="shared" si="22"/>
        <v>76884.800000000003</v>
      </c>
      <c r="H362" s="47">
        <f t="shared" si="22"/>
        <v>9651.14</v>
      </c>
      <c r="I362" s="47">
        <f t="shared" si="22"/>
        <v>298443.76</v>
      </c>
      <c r="J362" s="47">
        <f t="shared" si="22"/>
        <v>5065.3900000000003</v>
      </c>
      <c r="K362" s="47">
        <f t="shared" si="22"/>
        <v>949</v>
      </c>
      <c r="L362" s="47">
        <f t="shared" si="22"/>
        <v>658423.39999999991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0.99*67414</f>
        <v>66739.86</v>
      </c>
      <c r="G367" s="18">
        <f>0.99*74596.37</f>
        <v>73850.406299999988</v>
      </c>
      <c r="H367" s="18">
        <f>0.99*156433.39</f>
        <v>154869.05610000002</v>
      </c>
      <c r="I367" s="56">
        <f>SUM(F367:H367)</f>
        <v>295459.3224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f>0.01*67414</f>
        <v>674.14</v>
      </c>
      <c r="G368" s="18">
        <f>0.01*74596.37</f>
        <v>745.96370000000002</v>
      </c>
      <c r="H368" s="18">
        <f>0.01*156433.39</f>
        <v>1564.3339000000001</v>
      </c>
      <c r="I368" s="56">
        <f>SUM(F368:H368)</f>
        <v>2984.4376000000002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67414</v>
      </c>
      <c r="G369" s="47">
        <f>SUM(G367:G368)</f>
        <v>74596.369999999981</v>
      </c>
      <c r="H369" s="47">
        <f>SUM(H367:H368)</f>
        <v>156433.39000000001</v>
      </c>
      <c r="I369" s="47">
        <f>SUM(I367:I368)</f>
        <v>298443.76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60000</v>
      </c>
      <c r="H396" s="18">
        <v>176.8</v>
      </c>
      <c r="I396" s="18">
        <v>0</v>
      </c>
      <c r="J396" s="24" t="s">
        <v>289</v>
      </c>
      <c r="K396" s="24" t="s">
        <v>289</v>
      </c>
      <c r="L396" s="56">
        <f t="shared" si="26"/>
        <v>60176.800000000003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f>349.94-176.8</f>
        <v>173.14</v>
      </c>
      <c r="I400" s="18">
        <v>0</v>
      </c>
      <c r="J400" s="24" t="s">
        <v>289</v>
      </c>
      <c r="K400" s="24" t="s">
        <v>289</v>
      </c>
      <c r="L400" s="56">
        <f t="shared" si="26"/>
        <v>173.14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349.94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60349.94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349.94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60349.94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f>3345.4-349.94</f>
        <v>2995.46</v>
      </c>
      <c r="L426" s="56">
        <f t="shared" si="29"/>
        <v>2995.46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2995.46</v>
      </c>
      <c r="L427" s="47">
        <f t="shared" si="30"/>
        <v>2995.46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2995.46</v>
      </c>
      <c r="L434" s="47">
        <f t="shared" si="32"/>
        <v>2995.46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133396.37</v>
      </c>
      <c r="H439" s="18">
        <v>0</v>
      </c>
      <c r="I439" s="56">
        <f t="shared" ref="I439:I445" si="33">SUM(F439:H439)</f>
        <v>133396.37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238075.63</v>
      </c>
      <c r="H440" s="18">
        <v>0</v>
      </c>
      <c r="I440" s="56">
        <f t="shared" si="33"/>
        <v>238075.63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60000</v>
      </c>
      <c r="H441" s="18">
        <v>0</v>
      </c>
      <c r="I441" s="56">
        <f t="shared" si="33"/>
        <v>60000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431472</v>
      </c>
      <c r="H446" s="13">
        <f>SUM(H439:H445)</f>
        <v>0</v>
      </c>
      <c r="I446" s="13">
        <f>SUM(I439:I445)</f>
        <v>431472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f>110000-60000</f>
        <v>50000</v>
      </c>
      <c r="H448" s="18">
        <v>0</v>
      </c>
      <c r="I448" s="56">
        <f>SUM(F448:H448)</f>
        <v>50000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50000</v>
      </c>
      <c r="H452" s="71">
        <f>SUM(H448:H451)</f>
        <v>0</v>
      </c>
      <c r="I452" s="71">
        <f>SUM(I448:I451)</f>
        <v>50000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115494.82999999997</v>
      </c>
      <c r="H457" s="18">
        <v>0</v>
      </c>
      <c r="I457" s="56">
        <f t="shared" si="34"/>
        <v>115494.82999999997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f>141064.44+130248.33-5335.6</f>
        <v>265977.17000000004</v>
      </c>
      <c r="H459" s="18">
        <v>0</v>
      </c>
      <c r="I459" s="56">
        <f t="shared" si="34"/>
        <v>265977.17000000004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0</v>
      </c>
      <c r="G460" s="82">
        <f>SUM(G454:G459)</f>
        <v>381472</v>
      </c>
      <c r="H460" s="82">
        <f>SUM(H454:H459)</f>
        <v>0</v>
      </c>
      <c r="I460" s="82">
        <f>SUM(I454:I459)</f>
        <v>381472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0</v>
      </c>
      <c r="G461" s="42">
        <f>G452+G460</f>
        <v>431472</v>
      </c>
      <c r="H461" s="42">
        <f>H452+H460</f>
        <v>0</v>
      </c>
      <c r="I461" s="42">
        <f>I452+I460</f>
        <v>431472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907</v>
      </c>
      <c r="B465" s="104">
        <v>19</v>
      </c>
      <c r="C465" s="110">
        <v>1</v>
      </c>
      <c r="D465" s="2" t="s">
        <v>433</v>
      </c>
      <c r="E465" s="110"/>
      <c r="F465" s="18">
        <v>1127152.9300000004</v>
      </c>
      <c r="G465" s="18">
        <f>6365.17+188+21319+7768.4</f>
        <v>35640.57</v>
      </c>
      <c r="H465" s="18">
        <v>0</v>
      </c>
      <c r="I465" s="18">
        <v>0</v>
      </c>
      <c r="J465" s="18">
        <f>265551.53+63901.59-5335.6</f>
        <v>324117.52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20478775.469999999</v>
      </c>
      <c r="G468" s="18">
        <v>633941.40999999992</v>
      </c>
      <c r="H468" s="18">
        <v>1261818.29</v>
      </c>
      <c r="I468" s="18">
        <v>0</v>
      </c>
      <c r="J468" s="18">
        <v>60349.94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>
        <v>0</v>
      </c>
      <c r="G469" s="18">
        <v>11544.86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20478775.469999999</v>
      </c>
      <c r="G470" s="53">
        <f>SUM(G468:G469)</f>
        <v>645486.2699999999</v>
      </c>
      <c r="H470" s="53">
        <f>SUM(H468:H469)</f>
        <v>1261818.29</v>
      </c>
      <c r="I470" s="53">
        <f>SUM(I468:I469)</f>
        <v>0</v>
      </c>
      <c r="J470" s="53">
        <f>SUM(J468:J469)</f>
        <v>60349.94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v>20128996.580000002</v>
      </c>
      <c r="G472" s="18">
        <v>658423.4</v>
      </c>
      <c r="H472" s="18">
        <v>1139701.7000000002</v>
      </c>
      <c r="I472" s="18">
        <v>0</v>
      </c>
      <c r="J472" s="18">
        <v>2995.46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>
        <v>69160.149999999994</v>
      </c>
      <c r="G473" s="18">
        <v>13763.65</v>
      </c>
      <c r="H473" s="18">
        <f>63515.95</f>
        <v>63515.95</v>
      </c>
      <c r="I473" s="18">
        <v>0</v>
      </c>
      <c r="J473" s="18">
        <v>0</v>
      </c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20198156.73</v>
      </c>
      <c r="G474" s="53">
        <f>SUM(G472:G473)</f>
        <v>672187.05</v>
      </c>
      <c r="H474" s="53">
        <f>SUM(H472:H473)</f>
        <v>1203217.6500000001</v>
      </c>
      <c r="I474" s="53">
        <f>SUM(I472:I473)</f>
        <v>0</v>
      </c>
      <c r="J474" s="53">
        <f>SUM(J472:J473)</f>
        <v>2995.46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908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1407771.6699999981</v>
      </c>
      <c r="G476" s="53">
        <f>(G465+G470)- G474</f>
        <v>8939.7899999998044</v>
      </c>
      <c r="H476" s="53">
        <f>(H465+H470)- H474</f>
        <v>58600.639999999898</v>
      </c>
      <c r="I476" s="53">
        <f>(I465+I470)- I474</f>
        <v>0</v>
      </c>
      <c r="J476" s="53">
        <f>(J465+J470)- J474</f>
        <v>381472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72" t="s">
        <v>916</v>
      </c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 t="s">
        <v>912</v>
      </c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 t="s">
        <v>915</v>
      </c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 t="s">
        <v>917</v>
      </c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909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15</v>
      </c>
      <c r="G490" s="152"/>
      <c r="H490" s="152"/>
      <c r="I490" s="152"/>
      <c r="J490" s="152"/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913</v>
      </c>
      <c r="G491" s="153"/>
      <c r="H491" s="152"/>
      <c r="I491" s="152"/>
      <c r="J491" s="152"/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914</v>
      </c>
      <c r="G492" s="153"/>
      <c r="H492" s="152"/>
      <c r="I492" s="152"/>
      <c r="J492" s="152"/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2657078</v>
      </c>
      <c r="G493" s="18"/>
      <c r="H493" s="18"/>
      <c r="I493" s="18"/>
      <c r="J493" s="18"/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5.54</v>
      </c>
      <c r="G494" s="18"/>
      <c r="H494" s="18"/>
      <c r="I494" s="18"/>
      <c r="J494" s="18"/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2125662.38</v>
      </c>
      <c r="G495" s="18"/>
      <c r="H495" s="18"/>
      <c r="I495" s="18"/>
      <c r="J495" s="18"/>
      <c r="K495" s="53">
        <f>SUM(F495:J495)</f>
        <v>2125662.38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177138.54</v>
      </c>
      <c r="G497" s="18"/>
      <c r="H497" s="18"/>
      <c r="I497" s="18"/>
      <c r="J497" s="18"/>
      <c r="K497" s="53">
        <f t="shared" si="35"/>
        <v>177138.54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v>1771385.2999999998</v>
      </c>
      <c r="G498" s="202"/>
      <c r="H498" s="202"/>
      <c r="I498" s="202"/>
      <c r="J498" s="202"/>
      <c r="K498" s="203">
        <f t="shared" si="35"/>
        <v>1771385.2999999998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515207.3899999999</v>
      </c>
      <c r="G499" s="18"/>
      <c r="H499" s="18"/>
      <c r="I499" s="18"/>
      <c r="J499" s="18"/>
      <c r="K499" s="53">
        <f t="shared" si="35"/>
        <v>515207.3899999999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2286592.6899999995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2286592.6899999995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177138.54</v>
      </c>
      <c r="G501" s="202"/>
      <c r="H501" s="202"/>
      <c r="I501" s="202"/>
      <c r="J501" s="202"/>
      <c r="K501" s="203">
        <f t="shared" si="35"/>
        <v>177138.54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95681.37</v>
      </c>
      <c r="G502" s="18"/>
      <c r="H502" s="18"/>
      <c r="I502" s="18"/>
      <c r="J502" s="18"/>
      <c r="K502" s="53">
        <f t="shared" si="35"/>
        <v>95681.37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272819.91000000003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272819.91000000003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910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f>18745.38+591148.04</f>
        <v>609893.42000000004</v>
      </c>
      <c r="G521" s="18">
        <f>657.88+337933.08</f>
        <v>338590.96</v>
      </c>
      <c r="H521" s="18">
        <f>1269.01+1870.21</f>
        <v>3139.2200000000003</v>
      </c>
      <c r="I521" s="18">
        <v>4985.3599999999997</v>
      </c>
      <c r="J521" s="18">
        <v>1263.4000000000001</v>
      </c>
      <c r="K521" s="18">
        <v>234.95000000000002</v>
      </c>
      <c r="L521" s="87">
        <f>SUM(F521:K521)</f>
        <v>958107.31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f>67503.35+467567.06</f>
        <v>535070.41</v>
      </c>
      <c r="G522" s="18">
        <f>35849.67+267436.55</f>
        <v>303286.21999999997</v>
      </c>
      <c r="H522" s="18">
        <f>721.03+151510.25</f>
        <v>152231.28</v>
      </c>
      <c r="I522" s="18">
        <v>107.88</v>
      </c>
      <c r="J522" s="18">
        <v>2521.6799999999998</v>
      </c>
      <c r="K522" s="18">
        <v>600</v>
      </c>
      <c r="L522" s="87">
        <f>SUM(F522:K522)</f>
        <v>993817.47000000009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f>6059.07+984434.84</f>
        <v>990493.90999999992</v>
      </c>
      <c r="G523" s="18">
        <f>463.51+454684.42</f>
        <v>455147.93</v>
      </c>
      <c r="H523" s="18">
        <f>1427.84+1870.21+125499.23</f>
        <v>128797.28</v>
      </c>
      <c r="I523" s="18">
        <f>792.02+7160.1</f>
        <v>7952.1200000000008</v>
      </c>
      <c r="J523" s="18">
        <f>645+5190.65</f>
        <v>5835.65</v>
      </c>
      <c r="K523" s="18">
        <v>1275.7</v>
      </c>
      <c r="L523" s="87">
        <f>SUM(F523:K523)</f>
        <v>1589502.5899999999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2135457.7400000002</v>
      </c>
      <c r="G524" s="107">
        <f t="shared" ref="G524:L524" si="36">SUM(G521:G523)</f>
        <v>1097025.1099999999</v>
      </c>
      <c r="H524" s="107">
        <f t="shared" si="36"/>
        <v>284167.78000000003</v>
      </c>
      <c r="I524" s="107">
        <f t="shared" si="36"/>
        <v>13045.36</v>
      </c>
      <c r="J524" s="107">
        <f t="shared" si="36"/>
        <v>9620.73</v>
      </c>
      <c r="K524" s="107">
        <f t="shared" si="36"/>
        <v>2110.65</v>
      </c>
      <c r="L524" s="88">
        <f t="shared" si="36"/>
        <v>3541427.37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f>67268.77+65601.47</f>
        <v>132870.24</v>
      </c>
      <c r="G526" s="18">
        <f>5146.11+30262.75</f>
        <v>35408.86</v>
      </c>
      <c r="H526" s="18">
        <f>41971.05+55558.19+41493.95</f>
        <v>139023.19</v>
      </c>
      <c r="I526" s="18">
        <f>3287.76+1527.92</f>
        <v>4815.68</v>
      </c>
      <c r="J526" s="18">
        <v>873.39</v>
      </c>
      <c r="K526" s="18">
        <v>0</v>
      </c>
      <c r="L526" s="87">
        <f>SUM(F526:K526)</f>
        <v>312991.35999999999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83667.98</v>
      </c>
      <c r="G527" s="18">
        <v>38242.75</v>
      </c>
      <c r="H527" s="18">
        <f>23847.19+24441.5+22932.88</f>
        <v>71221.570000000007</v>
      </c>
      <c r="I527" s="18">
        <f>1817.08+240.26</f>
        <v>2057.34</v>
      </c>
      <c r="J527" s="18">
        <v>667.54</v>
      </c>
      <c r="K527" s="18">
        <v>0</v>
      </c>
      <c r="L527" s="87">
        <f>SUM(F527:K527)</f>
        <v>195857.18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167261.94</v>
      </c>
      <c r="G528" s="18">
        <v>57762.87</v>
      </c>
      <c r="H528" s="18">
        <f>29570.51+206662.77+29222.17</f>
        <v>265455.45</v>
      </c>
      <c r="I528" s="18">
        <f>2315.41+2974.3</f>
        <v>5289.71</v>
      </c>
      <c r="J528" s="18">
        <v>780.48</v>
      </c>
      <c r="K528" s="18">
        <v>0</v>
      </c>
      <c r="L528" s="87">
        <f>SUM(F528:K528)</f>
        <v>496550.45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383800.16</v>
      </c>
      <c r="G529" s="88">
        <f t="shared" ref="G529:L529" si="37">SUM(G526:G528)</f>
        <v>131414.48000000001</v>
      </c>
      <c r="H529" s="88">
        <f t="shared" si="37"/>
        <v>475700.21</v>
      </c>
      <c r="I529" s="88">
        <f t="shared" si="37"/>
        <v>12162.73</v>
      </c>
      <c r="J529" s="88">
        <f t="shared" si="37"/>
        <v>2321.41</v>
      </c>
      <c r="K529" s="88">
        <f t="shared" si="37"/>
        <v>0</v>
      </c>
      <c r="L529" s="88">
        <f t="shared" si="37"/>
        <v>1005398.99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57969.270990990983</v>
      </c>
      <c r="G531" s="18">
        <v>31899.06142506142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89868.332416052406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32038.469549549547</v>
      </c>
      <c r="G532" s="18">
        <v>17629.980343980344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49668.449893529891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40824.939459459463</v>
      </c>
      <c r="G533" s="18">
        <v>22464.958230958233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63289.897690417696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130832.68</v>
      </c>
      <c r="G534" s="88">
        <f t="shared" ref="G534:L534" si="38">SUM(G531:G533)</f>
        <v>71994</v>
      </c>
      <c r="H534" s="88">
        <f t="shared" si="38"/>
        <v>0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202826.68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108302.3</v>
      </c>
      <c r="I541" s="18">
        <v>0</v>
      </c>
      <c r="J541" s="18">
        <v>0</v>
      </c>
      <c r="K541" s="18">
        <v>0</v>
      </c>
      <c r="L541" s="87">
        <f>SUM(F541:K541)</f>
        <v>108302.3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86442.58</v>
      </c>
      <c r="I542" s="18">
        <v>0</v>
      </c>
      <c r="J542" s="18">
        <v>0</v>
      </c>
      <c r="K542" s="18">
        <v>0</v>
      </c>
      <c r="L542" s="87">
        <f>SUM(F542:K542)</f>
        <v>86442.58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79038.14</v>
      </c>
      <c r="I543" s="18">
        <v>0</v>
      </c>
      <c r="J543" s="18">
        <v>0</v>
      </c>
      <c r="K543" s="18">
        <v>0</v>
      </c>
      <c r="L543" s="87">
        <f>SUM(F543:K543)</f>
        <v>79038.14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0">SUM(G541:G543)</f>
        <v>0</v>
      </c>
      <c r="H544" s="191">
        <f t="shared" si="40"/>
        <v>273783.02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273783.02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2650090.5800000005</v>
      </c>
      <c r="G545" s="88">
        <f t="shared" ref="G545:L545" si="41">G524+G529+G534+G539+G544</f>
        <v>1300433.5899999999</v>
      </c>
      <c r="H545" s="88">
        <f t="shared" si="41"/>
        <v>1033651.01</v>
      </c>
      <c r="I545" s="88">
        <f t="shared" si="41"/>
        <v>25208.09</v>
      </c>
      <c r="J545" s="88">
        <f t="shared" si="41"/>
        <v>11942.14</v>
      </c>
      <c r="K545" s="88">
        <f t="shared" si="41"/>
        <v>2110.65</v>
      </c>
      <c r="L545" s="88">
        <f t="shared" si="41"/>
        <v>5023436.0600000005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958107.31</v>
      </c>
      <c r="G549" s="86">
        <f>L526</f>
        <v>312991.35999999999</v>
      </c>
      <c r="H549" s="86">
        <f>L531</f>
        <v>89868.332416052406</v>
      </c>
      <c r="I549" s="86">
        <f>L536</f>
        <v>0</v>
      </c>
      <c r="J549" s="86">
        <f>L541</f>
        <v>108302.3</v>
      </c>
      <c r="K549" s="86">
        <f>SUM(F549:J549)</f>
        <v>1469269.3024160524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993817.47000000009</v>
      </c>
      <c r="G550" s="86">
        <f>L527</f>
        <v>195857.18</v>
      </c>
      <c r="H550" s="86">
        <f>L532</f>
        <v>49668.449893529891</v>
      </c>
      <c r="I550" s="86">
        <f>L537</f>
        <v>0</v>
      </c>
      <c r="J550" s="86">
        <f>L542</f>
        <v>86442.58</v>
      </c>
      <c r="K550" s="86">
        <f>SUM(F550:J550)</f>
        <v>1325785.6798935302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1589502.5899999999</v>
      </c>
      <c r="G551" s="86">
        <f>L528</f>
        <v>496550.45</v>
      </c>
      <c r="H551" s="86">
        <f>L533</f>
        <v>63289.897690417696</v>
      </c>
      <c r="I551" s="86">
        <f>L538</f>
        <v>0</v>
      </c>
      <c r="J551" s="86">
        <f>L543</f>
        <v>79038.14</v>
      </c>
      <c r="K551" s="86">
        <f>SUM(F551:J551)</f>
        <v>2228381.0776904174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3541427.37</v>
      </c>
      <c r="G552" s="88">
        <f t="shared" si="42"/>
        <v>1005398.99</v>
      </c>
      <c r="H552" s="88">
        <f t="shared" si="42"/>
        <v>202826.68</v>
      </c>
      <c r="I552" s="88">
        <f t="shared" si="42"/>
        <v>0</v>
      </c>
      <c r="J552" s="88">
        <f t="shared" si="42"/>
        <v>273783.02</v>
      </c>
      <c r="K552" s="88">
        <f t="shared" si="42"/>
        <v>5023436.0600000005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4">SUM(F562:F564)</f>
        <v>0</v>
      </c>
      <c r="G565" s="88">
        <f t="shared" si="44"/>
        <v>0</v>
      </c>
      <c r="H565" s="88">
        <f t="shared" si="44"/>
        <v>0</v>
      </c>
      <c r="I565" s="88">
        <f t="shared" si="44"/>
        <v>0</v>
      </c>
      <c r="J565" s="88">
        <f t="shared" si="44"/>
        <v>0</v>
      </c>
      <c r="K565" s="88">
        <f t="shared" si="44"/>
        <v>0</v>
      </c>
      <c r="L565" s="88">
        <f t="shared" si="44"/>
        <v>0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0</v>
      </c>
      <c r="G571" s="88">
        <f t="shared" ref="G571:L571" si="46">G560+G565+G570</f>
        <v>0</v>
      </c>
      <c r="H571" s="88">
        <f t="shared" si="46"/>
        <v>0</v>
      </c>
      <c r="I571" s="88">
        <f t="shared" si="46"/>
        <v>0</v>
      </c>
      <c r="J571" s="88">
        <f t="shared" si="46"/>
        <v>0</v>
      </c>
      <c r="K571" s="88">
        <f t="shared" si="46"/>
        <v>0</v>
      </c>
      <c r="L571" s="88">
        <f t="shared" si="46"/>
        <v>0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6747.15</v>
      </c>
      <c r="I578" s="86">
        <f t="shared" si="47"/>
        <v>6747.15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149391.41</v>
      </c>
      <c r="H579" s="18">
        <v>118689.13</v>
      </c>
      <c r="I579" s="86">
        <f t="shared" si="47"/>
        <v>268080.54000000004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0</v>
      </c>
      <c r="G582" s="18">
        <v>0</v>
      </c>
      <c r="H582" s="18">
        <v>0</v>
      </c>
      <c r="I582" s="86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16508.22</v>
      </c>
      <c r="I584" s="86">
        <f t="shared" si="47"/>
        <v>16508.22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360856</v>
      </c>
      <c r="I591" s="18">
        <f>22684.62+147395.81</f>
        <v>170080.43</v>
      </c>
      <c r="J591" s="18">
        <f>210437.92+29271.59</f>
        <v>239709.51</v>
      </c>
      <c r="K591" s="103">
        <f t="shared" ref="K591:K597" si="48">SUM(H591:J591)</f>
        <v>770645.94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108302.3</v>
      </c>
      <c r="I592" s="18">
        <v>86442.58</v>
      </c>
      <c r="J592" s="18">
        <v>79038.14</v>
      </c>
      <c r="K592" s="103">
        <f t="shared" si="48"/>
        <v>273783.02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41026.300000000003</v>
      </c>
      <c r="K593" s="103">
        <f t="shared" si="48"/>
        <v>41026.300000000003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4652.62</v>
      </c>
      <c r="I594" s="18">
        <v>12731.16</v>
      </c>
      <c r="J594" s="18">
        <v>34074.92</v>
      </c>
      <c r="K594" s="103">
        <f t="shared" si="48"/>
        <v>51458.7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f>2555.83+16824.34</f>
        <v>19380.169999999998</v>
      </c>
      <c r="I595" s="18">
        <f>1977.71+3346.24</f>
        <v>5323.95</v>
      </c>
      <c r="J595" s="18">
        <f>4838.52+1796.4</f>
        <v>6634.92</v>
      </c>
      <c r="K595" s="103">
        <f t="shared" si="48"/>
        <v>31339.040000000001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27810.48</v>
      </c>
      <c r="I597" s="18">
        <f>1924+3926.68</f>
        <v>5850.68</v>
      </c>
      <c r="J597" s="18">
        <f>4125+6514.2</f>
        <v>10639.2</v>
      </c>
      <c r="K597" s="103">
        <f t="shared" si="48"/>
        <v>44300.36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521001.56999999995</v>
      </c>
      <c r="I598" s="107">
        <f>SUM(I591:I597)</f>
        <v>280428.79999999999</v>
      </c>
      <c r="J598" s="107">
        <f>SUM(J591:J597)</f>
        <v>411122.99</v>
      </c>
      <c r="K598" s="107">
        <f>SUM(K591:K597)</f>
        <v>1212553.3600000001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148258.85682089551</v>
      </c>
      <c r="I604" s="18">
        <v>84458.137628358207</v>
      </c>
      <c r="J604" s="18">
        <v>146348.34555074628</v>
      </c>
      <c r="K604" s="103">
        <f>SUM(H604:J604)</f>
        <v>379065.33999999997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148258.85682089551</v>
      </c>
      <c r="I605" s="107">
        <f>SUM(I602:I604)</f>
        <v>84458.137628358207</v>
      </c>
      <c r="J605" s="107">
        <f>SUM(J602:J604)</f>
        <v>146348.34555074628</v>
      </c>
      <c r="K605" s="107">
        <f>SUM(K602:K604)</f>
        <v>379065.33999999997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36228.75</v>
      </c>
      <c r="G611" s="18">
        <v>6718.3</v>
      </c>
      <c r="H611" s="18">
        <f>13960.31+22040.48</f>
        <v>36000.79</v>
      </c>
      <c r="I611" s="18">
        <v>5794.44</v>
      </c>
      <c r="J611" s="18">
        <v>0</v>
      </c>
      <c r="K611" s="18">
        <v>0</v>
      </c>
      <c r="L611" s="87">
        <f>SUM(F611:K611)</f>
        <v>84742.28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6774.25</v>
      </c>
      <c r="G612" s="18">
        <v>1534.66</v>
      </c>
      <c r="H612" s="18">
        <f>1062.52+3926.68</f>
        <v>4989.2</v>
      </c>
      <c r="I612" s="18">
        <v>0</v>
      </c>
      <c r="J612" s="18">
        <v>0</v>
      </c>
      <c r="K612" s="18">
        <v>0</v>
      </c>
      <c r="L612" s="87">
        <f>SUM(F612:K612)</f>
        <v>13298.11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12374.5</v>
      </c>
      <c r="G613" s="18">
        <v>2803.77</v>
      </c>
      <c r="H613" s="18">
        <f>2231.77+6514.2</f>
        <v>8745.9699999999993</v>
      </c>
      <c r="I613" s="18">
        <v>1039.52</v>
      </c>
      <c r="J613" s="18">
        <v>0</v>
      </c>
      <c r="K613" s="18">
        <v>1836</v>
      </c>
      <c r="L613" s="87">
        <f>SUM(F613:K613)</f>
        <v>26799.759999999998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55377.5</v>
      </c>
      <c r="G614" s="107">
        <f t="shared" si="49"/>
        <v>11056.730000000001</v>
      </c>
      <c r="H614" s="107">
        <f t="shared" si="49"/>
        <v>49735.96</v>
      </c>
      <c r="I614" s="107">
        <f t="shared" si="49"/>
        <v>6833.9599999999991</v>
      </c>
      <c r="J614" s="107">
        <f t="shared" si="49"/>
        <v>0</v>
      </c>
      <c r="K614" s="107">
        <f t="shared" si="49"/>
        <v>1836</v>
      </c>
      <c r="L614" s="88">
        <f t="shared" si="49"/>
        <v>124840.15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2236928.2199999997</v>
      </c>
      <c r="H617" s="108">
        <f>SUM(F52)</f>
        <v>2236928.2199999997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225584.77999999997</v>
      </c>
      <c r="H618" s="108">
        <f>SUM(G52)</f>
        <v>225584.78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155937.91</v>
      </c>
      <c r="H619" s="108">
        <f>SUM(H52)</f>
        <v>155937.90999999997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431472</v>
      </c>
      <c r="H621" s="108">
        <f>SUM(J52)</f>
        <v>431472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1407771.67</v>
      </c>
      <c r="H622" s="108">
        <f>F476</f>
        <v>1407771.6699999981</v>
      </c>
      <c r="I622" s="120" t="s">
        <v>101</v>
      </c>
      <c r="J622" s="108">
        <f t="shared" ref="J622:J655" si="50">G622-H622</f>
        <v>1.862645149230957E-9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8939.7900000000009</v>
      </c>
      <c r="H623" s="108">
        <f>G476</f>
        <v>8939.7899999998044</v>
      </c>
      <c r="I623" s="120" t="s">
        <v>102</v>
      </c>
      <c r="J623" s="108">
        <f t="shared" si="50"/>
        <v>1.964508555829525E-10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58600.639999999999</v>
      </c>
      <c r="H624" s="108">
        <f>H476</f>
        <v>58600.639999999898</v>
      </c>
      <c r="I624" s="120" t="s">
        <v>103</v>
      </c>
      <c r="J624" s="108">
        <f t="shared" si="50"/>
        <v>1.0186340659856796E-10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381472</v>
      </c>
      <c r="H626" s="108">
        <f>J476</f>
        <v>381472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20478775.469999999</v>
      </c>
      <c r="H627" s="103">
        <f>SUM(F468)</f>
        <v>20478775.469999999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633941.40999999992</v>
      </c>
      <c r="H628" s="103">
        <f>SUM(G468)</f>
        <v>633941.40999999992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1261818.29</v>
      </c>
      <c r="H629" s="103">
        <f>SUM(H468)</f>
        <v>1261818.29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60349.94</v>
      </c>
      <c r="H631" s="103">
        <f>SUM(J468)</f>
        <v>60349.94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20128996.580000002</v>
      </c>
      <c r="H632" s="103">
        <f>SUM(F472)</f>
        <v>20128996.580000002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1139701.7000000002</v>
      </c>
      <c r="H633" s="103">
        <f>SUM(H472)</f>
        <v>1139701.7000000002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298443.76</v>
      </c>
      <c r="H634" s="103">
        <f>I369</f>
        <v>298443.76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658423.39999999991</v>
      </c>
      <c r="H635" s="103">
        <f>SUM(G472)</f>
        <v>658423.4</v>
      </c>
      <c r="I635" s="139" t="s">
        <v>114</v>
      </c>
      <c r="J635" s="108">
        <f t="shared" si="50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60349.94</v>
      </c>
      <c r="H637" s="162">
        <f>SUM(J468)</f>
        <v>60349.94</v>
      </c>
      <c r="I637" s="163" t="s">
        <v>110</v>
      </c>
      <c r="J637" s="149">
        <f t="shared" si="50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2995.46</v>
      </c>
      <c r="H638" s="162">
        <f>SUM(J472)</f>
        <v>2995.46</v>
      </c>
      <c r="I638" s="163" t="s">
        <v>117</v>
      </c>
      <c r="J638" s="149">
        <f t="shared" si="50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0</v>
      </c>
      <c r="H639" s="103">
        <f>SUM(F461)</f>
        <v>0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431472</v>
      </c>
      <c r="H640" s="103">
        <f>SUM(G461)</f>
        <v>431472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431472</v>
      </c>
      <c r="H642" s="103">
        <f>SUM(I461)</f>
        <v>431472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349.94</v>
      </c>
      <c r="H644" s="103">
        <f>H408</f>
        <v>349.94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60000</v>
      </c>
      <c r="H645" s="103">
        <f>G408</f>
        <v>60000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60349.94</v>
      </c>
      <c r="H646" s="103">
        <f>L408</f>
        <v>60349.94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1212553.3600000001</v>
      </c>
      <c r="H647" s="103">
        <f>L208+L226+L244</f>
        <v>1212553.3600000001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379065.33999999997</v>
      </c>
      <c r="H648" s="103">
        <f>(J257+J338)-(J255+J336)</f>
        <v>379065.34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521001.57</v>
      </c>
      <c r="H649" s="103">
        <f>H598</f>
        <v>521001.56999999995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280428.79999999999</v>
      </c>
      <c r="H650" s="103">
        <f>I598</f>
        <v>280428.79999999999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411122.99000000005</v>
      </c>
      <c r="H651" s="103">
        <f>J598</f>
        <v>411122.99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95984.71</v>
      </c>
      <c r="H652" s="103">
        <f>K263+K345</f>
        <v>95984.71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60000</v>
      </c>
      <c r="H655" s="103">
        <f>K266+K347</f>
        <v>60000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9392024.3269868288</v>
      </c>
      <c r="G660" s="19">
        <f>(L229+L309+L359)</f>
        <v>5120804.5499476725</v>
      </c>
      <c r="H660" s="19">
        <f>(L247+L328+L360)</f>
        <v>6975674.7030654969</v>
      </c>
      <c r="I660" s="19">
        <f>SUM(F660:H660)</f>
        <v>21488503.579999998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67375.703812244843</v>
      </c>
      <c r="G661" s="19">
        <f>(L359/IF(SUM(L358:L360)=0,1,SUM(L358:L360))*(SUM(G97:G110)))</f>
        <v>48693.448611205502</v>
      </c>
      <c r="H661" s="19">
        <f>(L360/IF(SUM(L358:L360)=0,1,SUM(L358:L360))*(SUM(G97:G110)))</f>
        <v>119418.4075765497</v>
      </c>
      <c r="I661" s="19">
        <f>SUM(F661:H661)</f>
        <v>235487.56000000006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524508.06000000006</v>
      </c>
      <c r="G662" s="19">
        <f>(L226+L306)-(J226+J306)</f>
        <v>282107.67</v>
      </c>
      <c r="H662" s="19">
        <f>(L244+L325)-(J244+J325)</f>
        <v>413204.78</v>
      </c>
      <c r="I662" s="19">
        <f>SUM(F662:H662)</f>
        <v>1219820.51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233001.13682089551</v>
      </c>
      <c r="G663" s="197">
        <f>SUM(G575:G587)+SUM(I602:I604)+L612</f>
        <v>247147.65762835823</v>
      </c>
      <c r="H663" s="197">
        <f>SUM(H575:H587)+SUM(J602:J604)+L613</f>
        <v>315092.60555074632</v>
      </c>
      <c r="I663" s="19">
        <f>SUM(F663:H663)</f>
        <v>795241.4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8567139.4263536893</v>
      </c>
      <c r="G664" s="19">
        <f>G660-SUM(G661:G663)</f>
        <v>4542855.7737081088</v>
      </c>
      <c r="H664" s="19">
        <f>H660-SUM(H661:H663)</f>
        <v>6127958.9099382013</v>
      </c>
      <c r="I664" s="19">
        <f>I660-SUM(I661:I663)</f>
        <v>19237954.109999999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522.44000000000005</v>
      </c>
      <c r="G665" s="246">
        <v>300.98</v>
      </c>
      <c r="H665" s="246">
        <v>370.68</v>
      </c>
      <c r="I665" s="19">
        <f>SUM(F665:H665)</f>
        <v>1194.1000000000001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16398.32</v>
      </c>
      <c r="G667" s="19">
        <f>ROUND(G664/G665,2)</f>
        <v>15093.55</v>
      </c>
      <c r="H667" s="19">
        <f>ROUND(H664/H665,2)</f>
        <v>16531.669999999998</v>
      </c>
      <c r="I667" s="19">
        <f>ROUND(I664/I665,2)</f>
        <v>16110.84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-3.94</v>
      </c>
      <c r="I670" s="19">
        <f>SUM(F670:H670)</f>
        <v>-3.94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16398.32</v>
      </c>
      <c r="G672" s="19">
        <f>ROUND((G664+G669)/(G665+G670),2)</f>
        <v>15093.55</v>
      </c>
      <c r="H672" s="19">
        <f>ROUND((H664+H669)/(H665+H670),2)</f>
        <v>16709.27</v>
      </c>
      <c r="I672" s="19">
        <f>ROUND((I664+I669)/(I665+I670),2)</f>
        <v>16164.17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B39" sqref="B39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Newfound Area</v>
      </c>
      <c r="C1" s="236" t="s">
        <v>839</v>
      </c>
    </row>
    <row r="2" spans="1:3" x14ac:dyDescent="0.2">
      <c r="A2" s="231"/>
      <c r="B2" s="230"/>
    </row>
    <row r="3" spans="1:3" x14ac:dyDescent="0.2">
      <c r="A3" s="276" t="s">
        <v>784</v>
      </c>
      <c r="B3" s="276"/>
      <c r="C3" s="276"/>
    </row>
    <row r="4" spans="1:3" x14ac:dyDescent="0.2">
      <c r="A4" s="234"/>
      <c r="B4" s="235" t="str">
        <f>'DOE25'!H1</f>
        <v>DOE 25  2015-2016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783</v>
      </c>
      <c r="C6" s="275"/>
    </row>
    <row r="7" spans="1:3" x14ac:dyDescent="0.2">
      <c r="A7" s="237" t="s">
        <v>786</v>
      </c>
      <c r="B7" s="273" t="s">
        <v>782</v>
      </c>
      <c r="C7" s="274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5123697.4000000004</v>
      </c>
      <c r="C9" s="227">
        <f>'DOE25'!G197+'DOE25'!G215+'DOE25'!G233+'DOE25'!G276+'DOE25'!G295+'DOE25'!G314</f>
        <v>2475409.6900000004</v>
      </c>
    </row>
    <row r="10" spans="1:3" x14ac:dyDescent="0.2">
      <c r="A10" t="s">
        <v>779</v>
      </c>
      <c r="B10" s="238">
        <v>4702554.2299999902</v>
      </c>
      <c r="C10" s="238">
        <v>2315935.6100000422</v>
      </c>
    </row>
    <row r="11" spans="1:3" x14ac:dyDescent="0.2">
      <c r="A11" t="s">
        <v>780</v>
      </c>
      <c r="B11" s="238">
        <v>290882.72000000032</v>
      </c>
      <c r="C11" s="238">
        <v>77044.349999999933</v>
      </c>
    </row>
    <row r="12" spans="1:3" x14ac:dyDescent="0.2">
      <c r="A12" t="s">
        <v>781</v>
      </c>
      <c r="B12" s="238">
        <v>130260.4500000095</v>
      </c>
      <c r="C12" s="238">
        <v>82429.729999958072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5123697.4000000004</v>
      </c>
      <c r="C13" s="229">
        <f>SUM(C10:C12)</f>
        <v>2475409.6900000004</v>
      </c>
    </row>
    <row r="14" spans="1:3" x14ac:dyDescent="0.2">
      <c r="B14" s="228"/>
      <c r="C14" s="228"/>
    </row>
    <row r="15" spans="1:3" x14ac:dyDescent="0.2">
      <c r="B15" s="275" t="s">
        <v>783</v>
      </c>
      <c r="C15" s="275"/>
    </row>
    <row r="16" spans="1:3" x14ac:dyDescent="0.2">
      <c r="A16" s="237" t="s">
        <v>787</v>
      </c>
      <c r="B16" s="273" t="s">
        <v>707</v>
      </c>
      <c r="C16" s="274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2135457.7399999998</v>
      </c>
      <c r="C18" s="227">
        <f>'DOE25'!G198+'DOE25'!G216+'DOE25'!G234+'DOE25'!G277+'DOE25'!G296+'DOE25'!G315</f>
        <v>1097025.1099999999</v>
      </c>
    </row>
    <row r="19" spans="1:3" x14ac:dyDescent="0.2">
      <c r="A19" t="s">
        <v>779</v>
      </c>
      <c r="B19" s="238">
        <v>806900.89999999898</v>
      </c>
      <c r="C19" s="238">
        <v>427989.29999999824</v>
      </c>
    </row>
    <row r="20" spans="1:3" x14ac:dyDescent="0.2">
      <c r="A20" t="s">
        <v>780</v>
      </c>
      <c r="B20" s="238">
        <v>1230842.7999999998</v>
      </c>
      <c r="C20" s="238">
        <v>592571.11999998521</v>
      </c>
    </row>
    <row r="21" spans="1:3" x14ac:dyDescent="0.2">
      <c r="A21" t="s">
        <v>781</v>
      </c>
      <c r="B21" s="238">
        <v>97714.040000000969</v>
      </c>
      <c r="C21" s="238">
        <v>76464.690000016475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2135457.7399999998</v>
      </c>
      <c r="C22" s="229">
        <f>SUM(C19:C21)</f>
        <v>1097025.1099999999</v>
      </c>
    </row>
    <row r="23" spans="1:3" x14ac:dyDescent="0.2">
      <c r="B23" s="228"/>
      <c r="C23" s="228"/>
    </row>
    <row r="24" spans="1:3" x14ac:dyDescent="0.2">
      <c r="B24" s="275" t="s">
        <v>783</v>
      </c>
      <c r="C24" s="275"/>
    </row>
    <row r="25" spans="1:3" x14ac:dyDescent="0.2">
      <c r="A25" s="237" t="s">
        <v>788</v>
      </c>
      <c r="B25" s="273" t="s">
        <v>708</v>
      </c>
      <c r="C25" s="274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779</v>
      </c>
      <c r="B28" s="238">
        <v>0</v>
      </c>
      <c r="C28" s="238">
        <v>0</v>
      </c>
    </row>
    <row r="29" spans="1:3" x14ac:dyDescent="0.2">
      <c r="A29" t="s">
        <v>780</v>
      </c>
      <c r="B29" s="238">
        <v>0</v>
      </c>
      <c r="C29" s="238">
        <v>0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7" t="s">
        <v>789</v>
      </c>
      <c r="B34" s="273" t="s">
        <v>709</v>
      </c>
      <c r="C34" s="274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498685.29000000004</v>
      </c>
      <c r="C36" s="233">
        <f>'DOE25'!G200+'DOE25'!G218+'DOE25'!G236+'DOE25'!G279+'DOE25'!G298+'DOE25'!G317</f>
        <v>108641.96</v>
      </c>
    </row>
    <row r="37" spans="1:3" x14ac:dyDescent="0.2">
      <c r="A37" t="s">
        <v>779</v>
      </c>
      <c r="B37" s="238">
        <v>179653.53999999983</v>
      </c>
      <c r="C37" s="238">
        <v>42237.750000000437</v>
      </c>
    </row>
    <row r="38" spans="1:3" x14ac:dyDescent="0.2">
      <c r="A38" t="s">
        <v>780</v>
      </c>
      <c r="B38" s="238">
        <v>72641.76999999999</v>
      </c>
      <c r="C38" s="238">
        <v>13260.160000000027</v>
      </c>
    </row>
    <row r="39" spans="1:3" x14ac:dyDescent="0.2">
      <c r="A39" t="s">
        <v>781</v>
      </c>
      <c r="B39" s="238">
        <v>246389.98000000021</v>
      </c>
      <c r="C39" s="238">
        <v>53144.049999999545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498685.29000000004</v>
      </c>
      <c r="C40" s="229">
        <f>SUM(C37:C39)</f>
        <v>108641.96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717</v>
      </c>
      <c r="B2" s="263" t="str">
        <f>'DOE25'!A2</f>
        <v>Newfound Area</v>
      </c>
      <c r="C2" s="179"/>
      <c r="D2" s="179" t="s">
        <v>792</v>
      </c>
      <c r="E2" s="179" t="s">
        <v>794</v>
      </c>
      <c r="F2" s="277" t="s">
        <v>821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11531510.08</v>
      </c>
      <c r="D5" s="20">
        <f>SUM('DOE25'!L197:L200)+SUM('DOE25'!L215:L218)+SUM('DOE25'!L233:L236)-F5-G5</f>
        <v>11382131.4</v>
      </c>
      <c r="E5" s="241"/>
      <c r="F5" s="253">
        <f>SUM('DOE25'!J197:J200)+SUM('DOE25'!J215:J218)+SUM('DOE25'!J233:J236)</f>
        <v>125136.06</v>
      </c>
      <c r="G5" s="53">
        <f>SUM('DOE25'!K197:K200)+SUM('DOE25'!K215:K218)+SUM('DOE25'!K233:K236)</f>
        <v>24242.62</v>
      </c>
      <c r="H5" s="257"/>
    </row>
    <row r="6" spans="1:9" x14ac:dyDescent="0.2">
      <c r="A6" s="32">
        <v>2100</v>
      </c>
      <c r="B6" t="s">
        <v>801</v>
      </c>
      <c r="C6" s="243">
        <f t="shared" si="0"/>
        <v>1996448.6100000003</v>
      </c>
      <c r="D6" s="20">
        <f>'DOE25'!L202+'DOE25'!L220+'DOE25'!L238-F6-G6</f>
        <v>1988056.1400000004</v>
      </c>
      <c r="E6" s="241"/>
      <c r="F6" s="253">
        <f>'DOE25'!J202+'DOE25'!J220+'DOE25'!J238</f>
        <v>8167.47</v>
      </c>
      <c r="G6" s="53">
        <f>'DOE25'!K202+'DOE25'!K220+'DOE25'!K238</f>
        <v>225</v>
      </c>
      <c r="H6" s="257"/>
    </row>
    <row r="7" spans="1:9" x14ac:dyDescent="0.2">
      <c r="A7" s="32">
        <v>2200</v>
      </c>
      <c r="B7" t="s">
        <v>834</v>
      </c>
      <c r="C7" s="243">
        <f t="shared" si="0"/>
        <v>1045570.48</v>
      </c>
      <c r="D7" s="20">
        <f>'DOE25'!L203+'DOE25'!L221+'DOE25'!L239-F7-G7</f>
        <v>704526.21</v>
      </c>
      <c r="E7" s="241"/>
      <c r="F7" s="253">
        <f>'DOE25'!J203+'DOE25'!J221+'DOE25'!J239</f>
        <v>182233.1</v>
      </c>
      <c r="G7" s="53">
        <f>'DOE25'!K203+'DOE25'!K221+'DOE25'!K239</f>
        <v>158811.16999999998</v>
      </c>
      <c r="H7" s="257"/>
    </row>
    <row r="8" spans="1:9" x14ac:dyDescent="0.2">
      <c r="A8" s="32">
        <v>2300</v>
      </c>
      <c r="B8" t="s">
        <v>802</v>
      </c>
      <c r="C8" s="243">
        <f t="shared" si="0"/>
        <v>761663.16999999993</v>
      </c>
      <c r="D8" s="241"/>
      <c r="E8" s="20">
        <f>'DOE25'!L204+'DOE25'!L222+'DOE25'!L240-F8-G8-D9-D11</f>
        <v>740723.90999999992</v>
      </c>
      <c r="F8" s="253">
        <f>'DOE25'!J204+'DOE25'!J222+'DOE25'!J240</f>
        <v>4658.9800000000005</v>
      </c>
      <c r="G8" s="53">
        <f>'DOE25'!K204+'DOE25'!K222+'DOE25'!K240</f>
        <v>16280.28</v>
      </c>
      <c r="H8" s="257"/>
    </row>
    <row r="9" spans="1:9" x14ac:dyDescent="0.2">
      <c r="A9" s="32">
        <v>2310</v>
      </c>
      <c r="B9" t="s">
        <v>818</v>
      </c>
      <c r="C9" s="243">
        <f t="shared" si="0"/>
        <v>4097.41</v>
      </c>
      <c r="D9" s="242">
        <v>4097.41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13800</v>
      </c>
      <c r="D10" s="241"/>
      <c r="E10" s="242">
        <v>13800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245724.88</v>
      </c>
      <c r="D11" s="242">
        <f>122652.43+56835.38+21733.01+44504.06</f>
        <v>245724.88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1273837.1099999999</v>
      </c>
      <c r="D12" s="20">
        <f>'DOE25'!L205+'DOE25'!L223+'DOE25'!L241-F12-G12</f>
        <v>1249545.71</v>
      </c>
      <c r="E12" s="241"/>
      <c r="F12" s="253">
        <f>'DOE25'!J205+'DOE25'!J223+'DOE25'!J241</f>
        <v>10474.4</v>
      </c>
      <c r="G12" s="53">
        <f>'DOE25'!K205+'DOE25'!K223+'DOE25'!K241</f>
        <v>13817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1618973.38</v>
      </c>
      <c r="D14" s="20">
        <f>'DOE25'!L207+'DOE25'!L225+'DOE25'!L243-F14-G14</f>
        <v>1603501.18</v>
      </c>
      <c r="E14" s="241"/>
      <c r="F14" s="253">
        <f>'DOE25'!J207+'DOE25'!J225+'DOE25'!J243</f>
        <v>15472.2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1212553.3600000001</v>
      </c>
      <c r="D15" s="20">
        <f>'DOE25'!L208+'DOE25'!L226+'DOE25'!L244-F15-G15</f>
        <v>1212553.3600000001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0</v>
      </c>
      <c r="D16" s="241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282633.39</v>
      </c>
      <c r="D25" s="241"/>
      <c r="E25" s="241"/>
      <c r="F25" s="256"/>
      <c r="G25" s="254"/>
      <c r="H25" s="255">
        <f>'DOE25'!L260+'DOE25'!L261+'DOE25'!L341+'DOE25'!L342</f>
        <v>282633.39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362964.0775999999</v>
      </c>
      <c r="D29" s="20">
        <f>'DOE25'!L358+'DOE25'!L359+'DOE25'!L360-'DOE25'!I367-F29-G29</f>
        <v>356949.68759999989</v>
      </c>
      <c r="E29" s="241"/>
      <c r="F29" s="253">
        <f>'DOE25'!J358+'DOE25'!J359+'DOE25'!J360</f>
        <v>5065.3900000000003</v>
      </c>
      <c r="G29" s="53">
        <f>'DOE25'!K358+'DOE25'!K359+'DOE25'!K360</f>
        <v>949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1139701.7000000002</v>
      </c>
      <c r="D31" s="20">
        <f>'DOE25'!L290+'DOE25'!L309+'DOE25'!L328+'DOE25'!L333+'DOE25'!L334+'DOE25'!L335-F31-G31</f>
        <v>1096622.4300000004</v>
      </c>
      <c r="E31" s="241"/>
      <c r="F31" s="253">
        <f>'DOE25'!J290+'DOE25'!J309+'DOE25'!J328+'DOE25'!J333+'DOE25'!J334+'DOE25'!J335</f>
        <v>32923.129999999997</v>
      </c>
      <c r="G31" s="53">
        <f>'DOE25'!K290+'DOE25'!K309+'DOE25'!K328+'DOE25'!K333+'DOE25'!K334+'DOE25'!K335</f>
        <v>10156.14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19843708.407600001</v>
      </c>
      <c r="E33" s="244">
        <f>SUM(E5:E31)</f>
        <v>754523.90999999992</v>
      </c>
      <c r="F33" s="244">
        <f>SUM(F5:F31)</f>
        <v>384130.73000000004</v>
      </c>
      <c r="G33" s="244">
        <f>SUM(G5:G31)</f>
        <v>224481.20999999996</v>
      </c>
      <c r="H33" s="244">
        <f>SUM(H5:H31)</f>
        <v>282633.39</v>
      </c>
    </row>
    <row r="35" spans="2:8" ht="12" thickBot="1" x14ac:dyDescent="0.25">
      <c r="B35" s="251" t="s">
        <v>847</v>
      </c>
      <c r="D35" s="252">
        <f>E33</f>
        <v>754523.90999999992</v>
      </c>
      <c r="E35" s="247"/>
    </row>
    <row r="36" spans="2:8" ht="12" thickTop="1" x14ac:dyDescent="0.2">
      <c r="B36" t="s">
        <v>815</v>
      </c>
      <c r="D36" s="20">
        <f>D33</f>
        <v>19843708.407600001</v>
      </c>
    </row>
    <row r="38" spans="2:8" x14ac:dyDescent="0.2">
      <c r="B38" s="185" t="s">
        <v>905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5" sqref="C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Newfound Area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832890.95</v>
      </c>
      <c r="D8" s="94">
        <f>'DOE25'!G9</f>
        <v>63862.36</v>
      </c>
      <c r="E8" s="94">
        <f>'DOE25'!H9</f>
        <v>0</v>
      </c>
      <c r="F8" s="94">
        <f>'DOE25'!I9</f>
        <v>0</v>
      </c>
      <c r="G8" s="94">
        <f>'DOE25'!J9</f>
        <v>133396.37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408776.46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238075.63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177795.97000000009</v>
      </c>
      <c r="D11" s="94">
        <f>'DOE25'!G12</f>
        <v>93557.88</v>
      </c>
      <c r="E11" s="94">
        <f>'DOE25'!H12</f>
        <v>63608.62</v>
      </c>
      <c r="F11" s="94">
        <f>'DOE25'!I12</f>
        <v>0</v>
      </c>
      <c r="G11" s="94">
        <f>'DOE25'!J12</f>
        <v>60000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817464.84</v>
      </c>
      <c r="D12" s="94">
        <f>'DOE25'!G13</f>
        <v>56619.68</v>
      </c>
      <c r="E12" s="94">
        <f>'DOE25'!H13</f>
        <v>92329.29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11544.86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2236928.2199999997</v>
      </c>
      <c r="D18" s="41">
        <f>SUM(D8:D17)</f>
        <v>225584.77999999997</v>
      </c>
      <c r="E18" s="41">
        <f>SUM(E8:E17)</f>
        <v>155937.91</v>
      </c>
      <c r="F18" s="41">
        <f>SUM(F8:F17)</f>
        <v>0</v>
      </c>
      <c r="G18" s="41">
        <f>SUM(G8:G17)</f>
        <v>431472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153557.88</v>
      </c>
      <c r="D21" s="94">
        <f>'DOE25'!G22</f>
        <v>191404.59</v>
      </c>
      <c r="E21" s="94">
        <f>'DOE25'!H22</f>
        <v>0</v>
      </c>
      <c r="F21" s="94">
        <f>'DOE25'!I22</f>
        <v>0</v>
      </c>
      <c r="G21" s="94">
        <f>'DOE25'!J22</f>
        <v>50000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'DOE25'!F30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675598.67</v>
      </c>
      <c r="D27" s="94">
        <f>'DOE25'!G28</f>
        <v>11476.75</v>
      </c>
      <c r="E27" s="94">
        <f>'DOE25'!H28</f>
        <v>33821.32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13763.65</v>
      </c>
      <c r="E29" s="94">
        <f>'DOE25'!H30</f>
        <v>63515.95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829156.55</v>
      </c>
      <c r="D31" s="41">
        <f>SUM(D21:D30)</f>
        <v>216644.99</v>
      </c>
      <c r="E31" s="41">
        <f>SUM(E21:E30)</f>
        <v>97337.26999999999</v>
      </c>
      <c r="F31" s="41">
        <f>SUM(F21:F30)</f>
        <v>0</v>
      </c>
      <c r="G31" s="41">
        <f>SUM(G21:G30)</f>
        <v>50000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8939.7900000000009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115494.82999999997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99999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350000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58600.639999999999</v>
      </c>
      <c r="F47" s="94">
        <f>'DOE25'!I48</f>
        <v>0</v>
      </c>
      <c r="G47" s="94">
        <f>'DOE25'!J48</f>
        <v>265977.17000000004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957772.67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1407771.67</v>
      </c>
      <c r="D50" s="41">
        <f>SUM(D34:D49)</f>
        <v>8939.7900000000009</v>
      </c>
      <c r="E50" s="41">
        <f>SUM(E34:E49)</f>
        <v>58600.639999999999</v>
      </c>
      <c r="F50" s="41">
        <f>SUM(F34:F49)</f>
        <v>0</v>
      </c>
      <c r="G50" s="41">
        <f>SUM(G34:G49)</f>
        <v>381472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2236928.2199999997</v>
      </c>
      <c r="D51" s="41">
        <f>D50+D31</f>
        <v>225584.78</v>
      </c>
      <c r="E51" s="41">
        <f>E50+E31</f>
        <v>155937.90999999997</v>
      </c>
      <c r="F51" s="41">
        <f>F50+F31</f>
        <v>0</v>
      </c>
      <c r="G51" s="41">
        <f>G50+G31</f>
        <v>431472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11481906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603822.71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3131.32</v>
      </c>
      <c r="D59" s="94">
        <f>'DOE25'!G96</f>
        <v>47.5</v>
      </c>
      <c r="E59" s="94">
        <f>'DOE25'!H96</f>
        <v>0</v>
      </c>
      <c r="F59" s="94">
        <f>'DOE25'!I96</f>
        <v>0</v>
      </c>
      <c r="G59" s="94">
        <f>'DOE25'!J96</f>
        <v>349.94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235487.56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307080.84000000003</v>
      </c>
      <c r="D61" s="94">
        <f>SUM('DOE25'!G98:G110)</f>
        <v>0</v>
      </c>
      <c r="E61" s="94">
        <f>SUM('DOE25'!H98:H110)</f>
        <v>53530.61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914034.86999999988</v>
      </c>
      <c r="D62" s="129">
        <f>SUM(D57:D61)</f>
        <v>235535.06</v>
      </c>
      <c r="E62" s="129">
        <f>SUM(E57:E61)</f>
        <v>53530.61</v>
      </c>
      <c r="F62" s="129">
        <f>SUM(F57:F61)</f>
        <v>0</v>
      </c>
      <c r="G62" s="129">
        <f>SUM(G57:G61)</f>
        <v>349.94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12395940.869999999</v>
      </c>
      <c r="D63" s="22">
        <f>D56+D62</f>
        <v>235535.06</v>
      </c>
      <c r="E63" s="22">
        <f>E56+E62</f>
        <v>53530.61</v>
      </c>
      <c r="F63" s="22">
        <f>F56+F62</f>
        <v>0</v>
      </c>
      <c r="G63" s="22">
        <f>G56+G62</f>
        <v>349.94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3446324.01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4039391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7485715.0099999998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97426.2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60603.58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8142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6970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166171.78</v>
      </c>
      <c r="D78" s="129">
        <f>SUM(D72:D77)</f>
        <v>6970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7651886.79</v>
      </c>
      <c r="D81" s="129">
        <f>SUM(D79:D80)+D78+D70</f>
        <v>6970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428142.51</v>
      </c>
      <c r="D88" s="94">
        <f>SUM('DOE25'!G153:G161)</f>
        <v>295451.64</v>
      </c>
      <c r="E88" s="94">
        <f>SUM('DOE25'!H153:H161)</f>
        <v>1208287.68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2805.3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430947.81</v>
      </c>
      <c r="D91" s="130">
        <f>SUM(D85:D90)</f>
        <v>295451.64</v>
      </c>
      <c r="E91" s="130">
        <f>SUM(E85:E90)</f>
        <v>1208287.68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95984.71</v>
      </c>
      <c r="E96" s="94">
        <f>'DOE25'!H179</f>
        <v>0</v>
      </c>
      <c r="F96" s="94">
        <f>'DOE25'!I179</f>
        <v>0</v>
      </c>
      <c r="G96" s="94">
        <f>'DOE25'!J179</f>
        <v>60000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0</v>
      </c>
      <c r="D103" s="85">
        <f>SUM(D93:D102)</f>
        <v>95984.71</v>
      </c>
      <c r="E103" s="85">
        <f>SUM(E93:E102)</f>
        <v>0</v>
      </c>
      <c r="F103" s="85">
        <f>SUM(F93:F102)</f>
        <v>0</v>
      </c>
      <c r="G103" s="85">
        <f>SUM(G93:G102)</f>
        <v>60000</v>
      </c>
    </row>
    <row r="104" spans="1:7" ht="12.75" thickTop="1" thickBot="1" x14ac:dyDescent="0.25">
      <c r="A104" s="33" t="s">
        <v>765</v>
      </c>
      <c r="C104" s="85">
        <f>C63+C81+C91+C103</f>
        <v>20478775.469999999</v>
      </c>
      <c r="D104" s="85">
        <f>D63+D81+D91+D103</f>
        <v>633941.40999999992</v>
      </c>
      <c r="E104" s="85">
        <f>E63+E81+E91+E103</f>
        <v>1261818.29</v>
      </c>
      <c r="F104" s="85">
        <f>F63+F81+F91+F103</f>
        <v>0</v>
      </c>
      <c r="G104" s="85">
        <f>G63+G81+G103</f>
        <v>60349.94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7593993.2399999993</v>
      </c>
      <c r="D109" s="24" t="s">
        <v>289</v>
      </c>
      <c r="E109" s="94">
        <f>('DOE25'!L276)+('DOE25'!L295)+('DOE25'!L314)</f>
        <v>353226.34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3405423.5</v>
      </c>
      <c r="D110" s="24" t="s">
        <v>289</v>
      </c>
      <c r="E110" s="94">
        <f>('DOE25'!L277)+('DOE25'!L296)+('DOE25'!L315)</f>
        <v>134133.76000000001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16508.22</v>
      </c>
      <c r="D111" s="24" t="s">
        <v>289</v>
      </c>
      <c r="E111" s="94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515585.12000000005</v>
      </c>
      <c r="D112" s="24" t="s">
        <v>289</v>
      </c>
      <c r="E112" s="94">
        <f>+('DOE25'!L279)+('DOE25'!L298)+('DOE25'!L317)</f>
        <v>272985.89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11531510.079999998</v>
      </c>
      <c r="D115" s="85">
        <f>SUM(D109:D114)</f>
        <v>0</v>
      </c>
      <c r="E115" s="85">
        <f>SUM(E109:E114)</f>
        <v>760345.99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1996448.6100000003</v>
      </c>
      <c r="D118" s="24" t="s">
        <v>289</v>
      </c>
      <c r="E118" s="94">
        <f>+('DOE25'!L281)+('DOE25'!L300)+('DOE25'!L319)</f>
        <v>182664.38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1045570.48</v>
      </c>
      <c r="D119" s="24" t="s">
        <v>289</v>
      </c>
      <c r="E119" s="94">
        <f>+('DOE25'!L282)+('DOE25'!L301)+('DOE25'!L320)</f>
        <v>175814.15999999997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1011485.46</v>
      </c>
      <c r="D120" s="24" t="s">
        <v>289</v>
      </c>
      <c r="E120" s="94">
        <f>+('DOE25'!L283)+('DOE25'!L302)+('DOE25'!L321)</f>
        <v>13610.02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1273837.1099999999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1618973.38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1212553.3600000001</v>
      </c>
      <c r="D124" s="24" t="s">
        <v>289</v>
      </c>
      <c r="E124" s="94">
        <f>+('DOE25'!L287)+('DOE25'!L306)+('DOE25'!L325)</f>
        <v>7267.1500000000005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0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658423.39999999991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8158868.4000000004</v>
      </c>
      <c r="D128" s="85">
        <f>SUM(D118:D127)</f>
        <v>658423.39999999991</v>
      </c>
      <c r="E128" s="85">
        <f>SUM(E118:E127)</f>
        <v>379355.71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177138.55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105494.84000000001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2995.46</v>
      </c>
    </row>
    <row r="135" spans="1:7" x14ac:dyDescent="0.2">
      <c r="A135" t="s">
        <v>233</v>
      </c>
      <c r="B135" s="32" t="s">
        <v>234</v>
      </c>
      <c r="C135" s="94">
        <f>'DOE25'!L263</f>
        <v>95984.71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60349.94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-349.94000000000233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438618.10000000003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2995.46</v>
      </c>
    </row>
    <row r="145" spans="1:9" ht="12.75" thickTop="1" thickBot="1" x14ac:dyDescent="0.25">
      <c r="A145" s="33" t="s">
        <v>244</v>
      </c>
      <c r="C145" s="85">
        <f>(C115+C128+C144)</f>
        <v>20128996.579999998</v>
      </c>
      <c r="D145" s="85">
        <f>(D115+D128+D144)</f>
        <v>658423.39999999991</v>
      </c>
      <c r="E145" s="85">
        <f>(E115+E128+E144)</f>
        <v>1139701.7</v>
      </c>
      <c r="F145" s="85">
        <f>(F115+F128+F144)</f>
        <v>0</v>
      </c>
      <c r="G145" s="85">
        <f>(G115+G128+G144)</f>
        <v>2995.46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15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5" t="s">
        <v>28</v>
      </c>
      <c r="B152" s="150" t="str">
        <f>'DOE25'!F491</f>
        <v>07/10</v>
      </c>
      <c r="C152" s="150">
        <f>'DOE25'!G491</f>
        <v>0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289</v>
      </c>
    </row>
    <row r="153" spans="1:9" x14ac:dyDescent="0.2">
      <c r="A153" s="135" t="s">
        <v>29</v>
      </c>
      <c r="B153" s="150" t="str">
        <f>'DOE25'!F492</f>
        <v>01/26</v>
      </c>
      <c r="C153" s="150">
        <f>'DOE25'!G492</f>
        <v>0</v>
      </c>
      <c r="D153" s="150">
        <f>'DOE25'!H492</f>
        <v>0</v>
      </c>
      <c r="E153" s="150">
        <f>'DOE25'!I492</f>
        <v>0</v>
      </c>
      <c r="F153" s="150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2657078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5.54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2125662.38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2125662.38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177138.54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177138.54</v>
      </c>
    </row>
    <row r="159" spans="1:9" x14ac:dyDescent="0.2">
      <c r="A159" s="22" t="s">
        <v>35</v>
      </c>
      <c r="B159" s="136">
        <f>'DOE25'!F498</f>
        <v>1771385.2999999998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1771385.2999999998</v>
      </c>
    </row>
    <row r="160" spans="1:9" x14ac:dyDescent="0.2">
      <c r="A160" s="22" t="s">
        <v>36</v>
      </c>
      <c r="B160" s="136">
        <f>'DOE25'!F499</f>
        <v>515207.3899999999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515207.3899999999</v>
      </c>
    </row>
    <row r="161" spans="1:7" x14ac:dyDescent="0.2">
      <c r="A161" s="22" t="s">
        <v>37</v>
      </c>
      <c r="B161" s="136">
        <f>'DOE25'!F500</f>
        <v>2286592.6899999995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2286592.6899999995</v>
      </c>
    </row>
    <row r="162" spans="1:7" x14ac:dyDescent="0.2">
      <c r="A162" s="22" t="s">
        <v>38</v>
      </c>
      <c r="B162" s="136">
        <f>'DOE25'!F501</f>
        <v>177138.54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177138.54</v>
      </c>
    </row>
    <row r="163" spans="1:7" x14ac:dyDescent="0.2">
      <c r="A163" s="22" t="s">
        <v>39</v>
      </c>
      <c r="B163" s="136">
        <f>'DOE25'!F502</f>
        <v>95681.37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95681.37</v>
      </c>
    </row>
    <row r="164" spans="1:7" x14ac:dyDescent="0.2">
      <c r="A164" s="22" t="s">
        <v>246</v>
      </c>
      <c r="B164" s="136">
        <f>'DOE25'!F503</f>
        <v>272819.91000000003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272819.91000000003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5" t="s">
        <v>717</v>
      </c>
      <c r="B2" s="184" t="str">
        <f>'DOE25'!A2</f>
        <v>Newfound Area</v>
      </c>
    </row>
    <row r="3" spans="1:4" x14ac:dyDescent="0.2">
      <c r="B3" s="186" t="s">
        <v>902</v>
      </c>
    </row>
    <row r="4" spans="1:4" x14ac:dyDescent="0.2">
      <c r="B4" t="s">
        <v>61</v>
      </c>
      <c r="C4" s="177">
        <f>IF('DOE25'!F665+'DOE25'!F670=0,0,ROUND('DOE25'!F672,0))</f>
        <v>16398</v>
      </c>
    </row>
    <row r="5" spans="1:4" x14ac:dyDescent="0.2">
      <c r="B5" t="s">
        <v>704</v>
      </c>
      <c r="C5" s="177">
        <f>IF('DOE25'!G665+'DOE25'!G670=0,0,ROUND('DOE25'!G672,0))</f>
        <v>15094</v>
      </c>
    </row>
    <row r="6" spans="1:4" x14ac:dyDescent="0.2">
      <c r="B6" t="s">
        <v>62</v>
      </c>
      <c r="C6" s="177">
        <f>IF('DOE25'!H665+'DOE25'!H670=0,0,ROUND('DOE25'!H672,0))</f>
        <v>16709</v>
      </c>
    </row>
    <row r="7" spans="1:4" x14ac:dyDescent="0.2">
      <c r="B7" t="s">
        <v>705</v>
      </c>
      <c r="C7" s="177">
        <f>IF('DOE25'!I665+'DOE25'!I670=0,0,ROUND('DOE25'!I672,0))</f>
        <v>16164</v>
      </c>
    </row>
    <row r="9" spans="1:4" x14ac:dyDescent="0.2">
      <c r="A9" s="185" t="s">
        <v>94</v>
      </c>
      <c r="B9" s="186" t="s">
        <v>903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7947220</v>
      </c>
      <c r="D10" s="180">
        <f>ROUND((C10/$C$28)*100,1)</f>
        <v>37.200000000000003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3539557</v>
      </c>
      <c r="D11" s="180">
        <f>ROUND((C11/$C$28)*100,1)</f>
        <v>16.600000000000001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16508</v>
      </c>
      <c r="D12" s="180">
        <f>ROUND((C12/$C$28)*100,1)</f>
        <v>0.1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788571</v>
      </c>
      <c r="D13" s="180">
        <f>ROUND((C13/$C$28)*100,1)</f>
        <v>3.7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2179113</v>
      </c>
      <c r="D15" s="180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1221385</v>
      </c>
      <c r="D16" s="180">
        <f t="shared" si="0"/>
        <v>5.7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1025095</v>
      </c>
      <c r="D17" s="180">
        <f t="shared" si="0"/>
        <v>4.8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1273837</v>
      </c>
      <c r="D18" s="180">
        <f t="shared" si="0"/>
        <v>6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0</v>
      </c>
      <c r="D19" s="180">
        <f t="shared" si="0"/>
        <v>0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1618973</v>
      </c>
      <c r="D20" s="180">
        <f t="shared" si="0"/>
        <v>7.6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1219821</v>
      </c>
      <c r="D21" s="180">
        <f t="shared" si="0"/>
        <v>5.7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105495</v>
      </c>
      <c r="D25" s="180">
        <f t="shared" si="0"/>
        <v>0.5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422935.44</v>
      </c>
      <c r="D27" s="180">
        <f t="shared" si="0"/>
        <v>2</v>
      </c>
    </row>
    <row r="28" spans="1:4" x14ac:dyDescent="0.2">
      <c r="B28" s="185" t="s">
        <v>723</v>
      </c>
      <c r="C28" s="178">
        <f>SUM(C10:C27)</f>
        <v>21358510.440000001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21358510.440000001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177139</v>
      </c>
    </row>
    <row r="34" spans="1:4" x14ac:dyDescent="0.2">
      <c r="A34" s="185" t="s">
        <v>94</v>
      </c>
      <c r="B34" s="186" t="s">
        <v>904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11481906</v>
      </c>
      <c r="D35" s="180">
        <f t="shared" ref="D35:D40" si="1">ROUND((C35/$C$41)*100,1)</f>
        <v>52.1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967962.91999999993</v>
      </c>
      <c r="D36" s="180">
        <f t="shared" si="1"/>
        <v>4.4000000000000004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7485715</v>
      </c>
      <c r="D37" s="180">
        <f t="shared" si="1"/>
        <v>34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173142</v>
      </c>
      <c r="D38" s="180">
        <f t="shared" si="1"/>
        <v>0.8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1934687</v>
      </c>
      <c r="D39" s="180">
        <f t="shared" si="1"/>
        <v>8.8000000000000007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22043412.920000002</v>
      </c>
      <c r="D41" s="182">
        <f>SUM(D35:D40)</f>
        <v>100.1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1"/>
      <c r="K1" s="211"/>
      <c r="L1" s="211"/>
      <c r="M1" s="212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Newfound Area</v>
      </c>
      <c r="G2" s="291"/>
      <c r="H2" s="291"/>
      <c r="I2" s="291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6"/>
      <c r="B4" s="217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09"/>
      <c r="O29" s="209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5"/>
      <c r="AB29" s="205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5"/>
      <c r="AO29" s="205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5"/>
      <c r="BB29" s="205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5"/>
      <c r="BO29" s="205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5"/>
      <c r="CB29" s="205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5"/>
      <c r="CO29" s="205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5"/>
      <c r="DB29" s="205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5"/>
      <c r="DO29" s="205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5"/>
      <c r="EB29" s="205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5"/>
      <c r="EO29" s="205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5"/>
      <c r="FB29" s="205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5"/>
      <c r="FO29" s="205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5"/>
      <c r="GB29" s="205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5"/>
      <c r="GO29" s="205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5"/>
      <c r="HB29" s="205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5"/>
      <c r="HO29" s="205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5"/>
      <c r="IB29" s="205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5"/>
      <c r="IO29" s="205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6"/>
      <c r="B30" s="217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09"/>
      <c r="O30" s="209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5"/>
      <c r="AB30" s="205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5"/>
      <c r="AO30" s="205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5"/>
      <c r="BB30" s="205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5"/>
      <c r="BO30" s="205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5"/>
      <c r="CB30" s="205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5"/>
      <c r="CO30" s="205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5"/>
      <c r="DB30" s="205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5"/>
      <c r="DO30" s="205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5"/>
      <c r="EB30" s="205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5"/>
      <c r="EO30" s="205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5"/>
      <c r="FB30" s="205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5"/>
      <c r="FO30" s="205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5"/>
      <c r="GB30" s="205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5"/>
      <c r="GO30" s="205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5"/>
      <c r="HB30" s="205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5"/>
      <c r="HO30" s="205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5"/>
      <c r="IB30" s="205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5"/>
      <c r="IO30" s="205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6"/>
      <c r="B31" s="217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09"/>
      <c r="O31" s="209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5"/>
      <c r="AB31" s="205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5"/>
      <c r="AO31" s="205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5"/>
      <c r="BB31" s="205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5"/>
      <c r="BO31" s="205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5"/>
      <c r="CB31" s="205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5"/>
      <c r="CO31" s="205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5"/>
      <c r="DB31" s="205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5"/>
      <c r="DO31" s="205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5"/>
      <c r="EB31" s="205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5"/>
      <c r="EO31" s="205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5"/>
      <c r="FB31" s="205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5"/>
      <c r="FO31" s="205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5"/>
      <c r="GB31" s="205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5"/>
      <c r="GO31" s="205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5"/>
      <c r="HB31" s="205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5"/>
      <c r="HO31" s="205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5"/>
      <c r="IB31" s="205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5"/>
      <c r="IO31" s="205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6"/>
      <c r="B32" s="217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1"/>
      <c r="O32" s="221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6"/>
      <c r="AB32" s="217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6"/>
      <c r="AO32" s="217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6"/>
      <c r="BB32" s="217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6"/>
      <c r="BO32" s="217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6"/>
      <c r="CB32" s="217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6"/>
      <c r="CO32" s="217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6"/>
      <c r="DB32" s="217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6"/>
      <c r="DO32" s="217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6"/>
      <c r="EB32" s="217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6"/>
      <c r="EO32" s="217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6"/>
      <c r="FB32" s="217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6"/>
      <c r="FO32" s="217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6"/>
      <c r="GB32" s="217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6"/>
      <c r="GO32" s="217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6"/>
      <c r="HB32" s="217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6"/>
      <c r="HO32" s="217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6"/>
      <c r="IB32" s="217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6"/>
      <c r="IO32" s="217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6"/>
      <c r="B33" s="217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09"/>
      <c r="O38" s="209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5"/>
      <c r="AB38" s="205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5"/>
      <c r="AO38" s="205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5"/>
      <c r="BB38" s="205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5"/>
      <c r="BO38" s="205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5"/>
      <c r="CB38" s="205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5"/>
      <c r="CO38" s="205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5"/>
      <c r="DB38" s="205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5"/>
      <c r="DO38" s="205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5"/>
      <c r="EB38" s="205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5"/>
      <c r="EO38" s="205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5"/>
      <c r="FB38" s="205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5"/>
      <c r="FO38" s="205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5"/>
      <c r="GB38" s="205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5"/>
      <c r="GO38" s="205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5"/>
      <c r="HB38" s="205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5"/>
      <c r="HO38" s="205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5"/>
      <c r="IB38" s="205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5"/>
      <c r="IO38" s="205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6"/>
      <c r="B39" s="217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09"/>
      <c r="O39" s="209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5"/>
      <c r="AB39" s="205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5"/>
      <c r="AO39" s="205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5"/>
      <c r="BB39" s="205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5"/>
      <c r="BO39" s="205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5"/>
      <c r="CB39" s="205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5"/>
      <c r="CO39" s="205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5"/>
      <c r="DB39" s="205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5"/>
      <c r="DO39" s="205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5"/>
      <c r="EB39" s="205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5"/>
      <c r="EO39" s="205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5"/>
      <c r="FB39" s="205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5"/>
      <c r="FO39" s="205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5"/>
      <c r="GB39" s="205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5"/>
      <c r="GO39" s="205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5"/>
      <c r="HB39" s="205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5"/>
      <c r="HO39" s="205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5"/>
      <c r="IB39" s="205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5"/>
      <c r="IO39" s="205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6"/>
      <c r="B40" s="217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09"/>
      <c r="O40" s="209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5"/>
      <c r="AB40" s="205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5"/>
      <c r="AO40" s="205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5"/>
      <c r="BB40" s="205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5"/>
      <c r="BO40" s="205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5"/>
      <c r="CB40" s="205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5"/>
      <c r="CO40" s="205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5"/>
      <c r="DB40" s="205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5"/>
      <c r="DO40" s="205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5"/>
      <c r="EB40" s="205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5"/>
      <c r="EO40" s="205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5"/>
      <c r="FB40" s="205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5"/>
      <c r="FO40" s="205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5"/>
      <c r="GB40" s="205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5"/>
      <c r="GO40" s="205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5"/>
      <c r="HB40" s="205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5"/>
      <c r="HO40" s="205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5"/>
      <c r="IB40" s="205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5"/>
      <c r="IO40" s="205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6"/>
      <c r="B41" s="217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6"/>
      <c r="B60" s="217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6"/>
      <c r="B61" s="217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6"/>
      <c r="B62" s="217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6"/>
      <c r="B63" s="217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6"/>
      <c r="B64" s="217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6"/>
      <c r="B65" s="217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6"/>
      <c r="B66" s="217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6"/>
      <c r="B67" s="217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6"/>
      <c r="B68" s="217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6"/>
      <c r="B69" s="217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8"/>
      <c r="B70" s="219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9" t="s">
        <v>848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09"/>
      <c r="B74" s="209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09"/>
      <c r="B75" s="209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09"/>
      <c r="B76" s="209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09"/>
      <c r="B77" s="209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09"/>
      <c r="B78" s="209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09"/>
      <c r="B79" s="209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09"/>
      <c r="B80" s="209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09"/>
      <c r="B81" s="209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09"/>
      <c r="B82" s="209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09"/>
      <c r="B83" s="209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09"/>
      <c r="B84" s="209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09"/>
      <c r="B85" s="209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09"/>
      <c r="B86" s="209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09"/>
      <c r="B87" s="209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09"/>
      <c r="B88" s="209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09"/>
      <c r="B89" s="209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09"/>
      <c r="B90" s="209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2016-10-25T12:19:50Z</cp:lastPrinted>
  <dcterms:created xsi:type="dcterms:W3CDTF">1997-12-04T19:04:30Z</dcterms:created>
  <dcterms:modified xsi:type="dcterms:W3CDTF">2016-11-30T16:39:04Z</dcterms:modified>
</cp:coreProperties>
</file>