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98" i="1" l="1"/>
  <c r="F197" i="1"/>
  <c r="I315" i="1" l="1"/>
  <c r="H277" i="1"/>
  <c r="H314" i="1"/>
  <c r="I276" i="1"/>
  <c r="H276" i="1"/>
  <c r="G197" i="1" l="1"/>
  <c r="F209" i="1" l="1"/>
  <c r="F208" i="1"/>
  <c r="J207" i="1"/>
  <c r="I207" i="1"/>
  <c r="H207" i="1"/>
  <c r="F207" i="1"/>
  <c r="I205" i="1"/>
  <c r="H205" i="1"/>
  <c r="F205" i="1"/>
  <c r="H204" i="1"/>
  <c r="J203" i="1"/>
  <c r="I203" i="1"/>
  <c r="H203" i="1"/>
  <c r="F203" i="1"/>
  <c r="I204" i="1"/>
  <c r="J204" i="1"/>
  <c r="H202" i="1"/>
  <c r="F202" i="1"/>
  <c r="I202" i="1"/>
  <c r="F200" i="1"/>
  <c r="H200" i="1"/>
  <c r="K200" i="1"/>
  <c r="J198" i="1"/>
  <c r="I198" i="1"/>
  <c r="H198" i="1"/>
  <c r="K197" i="1"/>
  <c r="J197" i="1"/>
  <c r="I197" i="1"/>
  <c r="H197" i="1"/>
  <c r="F206" i="1"/>
  <c r="K204" i="1"/>
  <c r="F204" i="1"/>
  <c r="K203" i="1" l="1"/>
  <c r="J202" i="1"/>
  <c r="H255" i="1"/>
  <c r="F245" i="1"/>
  <c r="J243" i="1"/>
  <c r="I243" i="1"/>
  <c r="H243" i="1"/>
  <c r="F243" i="1"/>
  <c r="F242" i="1"/>
  <c r="F241" i="1"/>
  <c r="K241" i="1"/>
  <c r="J241" i="1"/>
  <c r="I241" i="1"/>
  <c r="H241" i="1"/>
  <c r="K240" i="1"/>
  <c r="I240" i="1"/>
  <c r="H240" i="1"/>
  <c r="F240" i="1"/>
  <c r="J240" i="1"/>
  <c r="J239" i="1"/>
  <c r="F238" i="1"/>
  <c r="K238" i="1"/>
  <c r="J234" i="1"/>
  <c r="I234" i="1"/>
  <c r="H234" i="1"/>
  <c r="F234" i="1"/>
  <c r="F236" i="1"/>
  <c r="K236" i="1"/>
  <c r="J236" i="1"/>
  <c r="H236" i="1"/>
  <c r="I235" i="1"/>
  <c r="H235" i="1"/>
  <c r="K233" i="1"/>
  <c r="J233" i="1"/>
  <c r="I233" i="1"/>
  <c r="H233" i="1"/>
  <c r="F233" i="1"/>
  <c r="H360" i="1" l="1"/>
  <c r="I360" i="1"/>
  <c r="I358" i="1" l="1"/>
  <c r="G360" i="1"/>
  <c r="F360" i="1"/>
  <c r="H358" i="1"/>
  <c r="F358" i="1"/>
  <c r="G358" i="1"/>
  <c r="H472" i="1" l="1"/>
  <c r="H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1" i="2"/>
  <c r="C113" i="2"/>
  <c r="E113" i="2"/>
  <c r="C114" i="2"/>
  <c r="E114" i="2"/>
  <c r="D115" i="2"/>
  <c r="F115" i="2"/>
  <c r="G115" i="2"/>
  <c r="E118" i="2"/>
  <c r="E120" i="2"/>
  <c r="E122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J644" i="1" s="1"/>
  <c r="I401" i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7" i="1" s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I460" i="1"/>
  <c r="F461" i="1"/>
  <c r="H639" i="1" s="1"/>
  <c r="J639" i="1" s="1"/>
  <c r="G461" i="1"/>
  <c r="H640" i="1" s="1"/>
  <c r="H461" i="1"/>
  <c r="I461" i="1"/>
  <c r="H642" i="1" s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1" i="1"/>
  <c r="H641" i="1"/>
  <c r="G642" i="1"/>
  <c r="G643" i="1"/>
  <c r="H643" i="1"/>
  <c r="G644" i="1"/>
  <c r="G645" i="1"/>
  <c r="H645" i="1"/>
  <c r="G650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51" i="1"/>
  <c r="A31" i="12"/>
  <c r="D62" i="2"/>
  <c r="D63" i="2" s="1"/>
  <c r="D18" i="13"/>
  <c r="C18" i="13" s="1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E78" i="2"/>
  <c r="E81" i="2" s="1"/>
  <c r="H112" i="1"/>
  <c r="J641" i="1"/>
  <c r="J571" i="1"/>
  <c r="K571" i="1"/>
  <c r="L433" i="1"/>
  <c r="L419" i="1"/>
  <c r="D81" i="2"/>
  <c r="I169" i="1"/>
  <c r="H169" i="1"/>
  <c r="J643" i="1"/>
  <c r="J476" i="1"/>
  <c r="H626" i="1" s="1"/>
  <c r="I476" i="1"/>
  <c r="H625" i="1" s="1"/>
  <c r="J625" i="1" s="1"/>
  <c r="G476" i="1"/>
  <c r="H623" i="1" s="1"/>
  <c r="J623" i="1" s="1"/>
  <c r="J140" i="1"/>
  <c r="F571" i="1"/>
  <c r="I552" i="1"/>
  <c r="K550" i="1"/>
  <c r="G22" i="2"/>
  <c r="J552" i="1"/>
  <c r="H140" i="1"/>
  <c r="F22" i="13"/>
  <c r="H25" i="13"/>
  <c r="C25" i="13" s="1"/>
  <c r="H571" i="1"/>
  <c r="L560" i="1"/>
  <c r="H192" i="1"/>
  <c r="C35" i="10"/>
  <c r="L309" i="1"/>
  <c r="J655" i="1"/>
  <c r="J645" i="1"/>
  <c r="L570" i="1"/>
  <c r="I571" i="1"/>
  <c r="G36" i="2"/>
  <c r="L565" i="1"/>
  <c r="C22" i="13"/>
  <c r="H33" i="13"/>
  <c r="A40" i="12" l="1"/>
  <c r="A13" i="12"/>
  <c r="C110" i="2"/>
  <c r="G552" i="1"/>
  <c r="L544" i="1"/>
  <c r="H552" i="1"/>
  <c r="K551" i="1"/>
  <c r="J545" i="1"/>
  <c r="L534" i="1"/>
  <c r="K549" i="1"/>
  <c r="H545" i="1"/>
  <c r="I545" i="1"/>
  <c r="L529" i="1"/>
  <c r="L524" i="1"/>
  <c r="F552" i="1"/>
  <c r="K598" i="1"/>
  <c r="G647" i="1" s="1"/>
  <c r="J651" i="1"/>
  <c r="L328" i="1"/>
  <c r="E112" i="2"/>
  <c r="G338" i="1"/>
  <c r="G352" i="1" s="1"/>
  <c r="C11" i="10"/>
  <c r="F338" i="1"/>
  <c r="F352" i="1" s="1"/>
  <c r="H338" i="1"/>
  <c r="H352" i="1" s="1"/>
  <c r="E16" i="13"/>
  <c r="C16" i="13" s="1"/>
  <c r="C19" i="10"/>
  <c r="C109" i="2"/>
  <c r="C122" i="2"/>
  <c r="C118" i="2"/>
  <c r="C119" i="2"/>
  <c r="D6" i="13"/>
  <c r="C6" i="13" s="1"/>
  <c r="F662" i="1"/>
  <c r="I662" i="1" s="1"/>
  <c r="E13" i="13"/>
  <c r="C13" i="13" s="1"/>
  <c r="C18" i="10"/>
  <c r="J257" i="1"/>
  <c r="J271" i="1" s="1"/>
  <c r="C29" i="10"/>
  <c r="C121" i="2"/>
  <c r="E8" i="13"/>
  <c r="C8" i="13" s="1"/>
  <c r="C112" i="2"/>
  <c r="C111" i="2"/>
  <c r="L247" i="1"/>
  <c r="K257" i="1"/>
  <c r="K271" i="1" s="1"/>
  <c r="I257" i="1"/>
  <c r="I271" i="1" s="1"/>
  <c r="H257" i="1"/>
  <c r="H271" i="1" s="1"/>
  <c r="C10" i="10"/>
  <c r="G257" i="1"/>
  <c r="G271" i="1" s="1"/>
  <c r="F257" i="1"/>
  <c r="F271" i="1" s="1"/>
  <c r="C21" i="10"/>
  <c r="C20" i="10"/>
  <c r="D15" i="13"/>
  <c r="C15" i="13" s="1"/>
  <c r="C124" i="2"/>
  <c r="C125" i="2"/>
  <c r="C17" i="10"/>
  <c r="G649" i="1"/>
  <c r="J649" i="1" s="1"/>
  <c r="H647" i="1"/>
  <c r="D14" i="13"/>
  <c r="C14" i="13" s="1"/>
  <c r="C123" i="2"/>
  <c r="D12" i="13"/>
  <c r="C12" i="13" s="1"/>
  <c r="D7" i="13"/>
  <c r="C7" i="13" s="1"/>
  <c r="C16" i="10"/>
  <c r="C15" i="10"/>
  <c r="D5" i="13"/>
  <c r="C5" i="13" s="1"/>
  <c r="L211" i="1"/>
  <c r="C13" i="10"/>
  <c r="F130" i="2"/>
  <c r="F144" i="2" s="1"/>
  <c r="F145" i="2" s="1"/>
  <c r="L382" i="1"/>
  <c r="G636" i="1" s="1"/>
  <c r="J636" i="1" s="1"/>
  <c r="E124" i="2"/>
  <c r="K338" i="1"/>
  <c r="K352" i="1" s="1"/>
  <c r="E119" i="2"/>
  <c r="J338" i="1"/>
  <c r="J352" i="1" s="1"/>
  <c r="E110" i="2"/>
  <c r="L290" i="1"/>
  <c r="J634" i="1"/>
  <c r="L393" i="1"/>
  <c r="C138" i="2" s="1"/>
  <c r="J640" i="1"/>
  <c r="L401" i="1"/>
  <c r="C139" i="2" s="1"/>
  <c r="I408" i="1"/>
  <c r="C81" i="2"/>
  <c r="C62" i="2"/>
  <c r="C63" i="2" s="1"/>
  <c r="J622" i="1"/>
  <c r="H52" i="1"/>
  <c r="H619" i="1" s="1"/>
  <c r="J619" i="1" s="1"/>
  <c r="J617" i="1"/>
  <c r="D18" i="2"/>
  <c r="H476" i="1"/>
  <c r="H624" i="1" s="1"/>
  <c r="J624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K552" i="1" l="1"/>
  <c r="L545" i="1"/>
  <c r="J647" i="1"/>
  <c r="H660" i="1"/>
  <c r="L338" i="1"/>
  <c r="L352" i="1" s="1"/>
  <c r="G633" i="1" s="1"/>
  <c r="J633" i="1" s="1"/>
  <c r="E115" i="2"/>
  <c r="E33" i="13"/>
  <c r="D35" i="13" s="1"/>
  <c r="C115" i="2"/>
  <c r="L257" i="1"/>
  <c r="L271" i="1" s="1"/>
  <c r="G632" i="1" s="1"/>
  <c r="J632" i="1" s="1"/>
  <c r="C128" i="2"/>
  <c r="E128" i="2"/>
  <c r="D31" i="13"/>
  <c r="C31" i="13" s="1"/>
  <c r="H648" i="1"/>
  <c r="J648" i="1" s="1"/>
  <c r="L408" i="1"/>
  <c r="G637" i="1" s="1"/>
  <c r="J637" i="1" s="1"/>
  <c r="C141" i="2"/>
  <c r="C144" i="2" s="1"/>
  <c r="G104" i="2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C145" i="2"/>
  <c r="H646" i="1"/>
  <c r="J646" i="1" s="1"/>
  <c r="C41" i="10"/>
  <c r="D38" i="10" s="1"/>
  <c r="D37" i="10" l="1"/>
  <c r="D36" i="10"/>
  <c r="D35" i="10"/>
  <c r="D40" i="10"/>
  <c r="D39" i="10"/>
  <c r="D41" i="10" l="1"/>
  <c r="C5" i="10"/>
  <c r="G362" i="1"/>
  <c r="L358" i="1"/>
  <c r="F661" i="1" s="1"/>
  <c r="D127" i="2" l="1"/>
  <c r="D128" i="2" s="1"/>
  <c r="D145" i="2" s="1"/>
  <c r="H661" i="1"/>
  <c r="H664" i="1" s="1"/>
  <c r="H672" i="1" s="1"/>
  <c r="C6" i="10" s="1"/>
  <c r="D29" i="13"/>
  <c r="C29" i="13" s="1"/>
  <c r="G661" i="1"/>
  <c r="G664" i="1" s="1"/>
  <c r="G672" i="1" s="1"/>
  <c r="L362" i="1"/>
  <c r="C27" i="10" s="1"/>
  <c r="C28" i="10" s="1"/>
  <c r="F660" i="1"/>
  <c r="D33" i="13"/>
  <c r="D36" i="13" s="1"/>
  <c r="G667" i="1" l="1"/>
  <c r="H667" i="1"/>
  <c r="G635" i="1"/>
  <c r="J635" i="1" s="1"/>
  <c r="I661" i="1"/>
  <c r="F664" i="1"/>
  <c r="I660" i="1"/>
  <c r="C30" i="10"/>
  <c r="D16" i="10"/>
  <c r="D24" i="10"/>
  <c r="D26" i="10"/>
  <c r="D15" i="10"/>
  <c r="D25" i="10"/>
  <c r="D23" i="10"/>
  <c r="D20" i="10"/>
  <c r="D11" i="10"/>
  <c r="D21" i="10"/>
  <c r="D19" i="10"/>
  <c r="D13" i="10"/>
  <c r="D10" i="10"/>
  <c r="D17" i="10"/>
  <c r="D12" i="10"/>
  <c r="D22" i="10"/>
  <c r="D18" i="10"/>
  <c r="D27" i="10"/>
  <c r="I664" i="1" l="1"/>
  <c r="I672" i="1" s="1"/>
  <c r="C7" i="10" s="1"/>
  <c r="H656" i="1"/>
  <c r="D28" i="10"/>
  <c r="F672" i="1"/>
  <c r="C4" i="10" s="1"/>
  <c r="F667" i="1"/>
  <c r="I667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<sst xmlns="http://schemas.openxmlformats.org/spreadsheetml/2006/main" count="3956" uniqueCount="913">
  <si>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</si>
  <si>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</si>
  <si>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</si>
  <si>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</si>
  <si>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</si>
  <si>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</si>
  <si>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</si>
  <si>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</si>
  <si>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</si>
  <si>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</si>
  <si>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</si>
  <si>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</si>
  <si>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</si>
  <si>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</si>
  <si>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</si>
  <si>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</si>
  <si>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</si>
  <si>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</si>
  <si>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</si>
  <si>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</si>
  <si>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</si>
  <si>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</si>
  <si>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</si>
  <si>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</si>
  <si>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</si>
  <si>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</si>
  <si>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</si>
  <si>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</si>
  <si>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</si>
  <si>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</si>
  <si>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</si>
  <si>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</si>
  <si>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</si>
  <si>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</si>
  <si>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</si>
  <si>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</si>
  <si>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</si>
  <si>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</si>
  <si>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</si>
  <si>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</si>
  <si>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</si>
  <si>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</si>
  <si>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</si>
  <si>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</si>
  <si>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</si>
  <si>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</si>
  <si>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</si>
  <si>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</si>
  <si>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</si>
  <si>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</si>
  <si>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</si>
  <si>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</si>
  <si>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</si>
  <si>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</si>
  <si>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</si>
  <si>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</si>
  <si>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</si>
  <si>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</si>
  <si>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</si>
  <si>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</si>
  <si>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</si>
  <si>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</si>
  <si>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</si>
  <si>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</si>
  <si>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</si>
  <si>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</si>
  <si>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</si>
  <si>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</si>
  <si>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</si>
  <si>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</si>
  <si>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</si>
  <si>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</si>
  <si>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</si>
  <si>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</si>
  <si>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</si>
  <si>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</si>
  <si>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</si>
  <si>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</si>
  <si>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</si>
  <si>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</si>
  <si>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</si>
  <si>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</si>
  <si>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</si>
  <si>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</si>
  <si>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</si>
  <si>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</si>
  <si>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</si>
  <si>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</si>
  <si>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</si>
  <si>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</si>
  <si>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</si>
  <si>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</si>
  <si>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</si>
  <si>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</si>
  <si>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</si>
  <si>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</si>
  <si>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</si>
  <si>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</si>
  <si>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</si>
  <si>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</si>
  <si>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</si>
  <si>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</si>
  <si>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</si>
  <si>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</si>
  <si>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</si>
  <si>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</si>
  <si>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</si>
  <si>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</si>
  <si>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</si>
  <si>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</si>
  <si>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</si>
  <si>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</si>
  <si>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</si>
  <si>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</si>
  <si>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</si>
  <si>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</si>
  <si>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</si>
  <si>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</si>
  <si>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</si>
  <si>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</si>
  <si>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</si>
  <si>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</si>
  <si>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</si>
  <si>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</si>
  <si>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</si>
  <si>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</si>
  <si>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</si>
  <si>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</si>
  <si>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</si>
  <si>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</si>
  <si>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</si>
  <si>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</si>
  <si>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</si>
  <si>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</si>
  <si>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</si>
  <si>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</si>
  <si>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</si>
  <si>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</si>
  <si>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</si>
  <si>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</si>
  <si>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</si>
  <si>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</si>
  <si>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</si>
  <si>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</si>
  <si>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</si>
  <si>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</si>
  <si>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</si>
  <si>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</si>
  <si>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</si>
  <si>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</si>
  <si>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</si>
  <si>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</si>
  <si>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</si>
  <si>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</si>
  <si>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</si>
  <si>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</si>
  <si>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</si>
  <si>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</si>
  <si>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</si>
  <si>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</si>
  <si>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</si>
  <si>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</si>
  <si>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</si>
  <si>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</si>
  <si>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</si>
  <si>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</si>
  <si>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</si>
  <si>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</si>
  <si>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</si>
  <si>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</si>
  <si>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</si>
  <si>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</si>
  <si>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</si>
  <si>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</si>
  <si>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</si>
  <si>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</si>
  <si>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</si>
  <si>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</si>
  <si>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</si>
  <si>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</si>
  <si>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</si>
  <si>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</si>
  <si>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</si>
  <si>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</si>
  <si>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</si>
  <si>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</si>
  <si>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</si>
  <si>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</si>
  <si>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</si>
  <si>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</si>
  <si>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</si>
  <si>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</si>
  <si>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</si>
  <si>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</si>
  <si>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</si>
  <si>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</si>
  <si>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</si>
  <si>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</si>
  <si>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</si>
  <si>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</si>
  <si>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</si>
  <si>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</si>
  <si>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</si>
  <si>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</si>
  <si>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</si>
  <si>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</si>
  <si>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</si>
  <si>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</si>
  <si>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</si>
  <si>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</si>
  <si>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</si>
  <si>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</si>
  <si>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</si>
  <si>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</si>
  <si>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</si>
  <si>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</si>
  <si>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</si>
  <si>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</si>
  <si>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</si>
  <si>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</si>
  <si>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</si>
  <si>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</si>
  <si>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</si>
  <si>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</si>
  <si>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</si>
  <si>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</si>
  <si>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</si>
  <si>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</si>
  <si>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</si>
  <si>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</si>
  <si>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</si>
  <si>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</si>
  <si>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</si>
  <si>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</si>
  <si>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</si>
  <si>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</si>
  <si>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</si>
  <si>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</si>
  <si>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</si>
  <si>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</si>
  <si>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</si>
  <si>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</si>
  <si>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</si>
  <si>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</si>
  <si>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</si>
  <si>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</si>
  <si>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</si>
  <si>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</si>
  <si>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</si>
  <si>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</si>
  <si>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</si>
  <si>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</si>
  <si>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</si>
  <si>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</si>
  <si>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</si>
  <si>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</si>
  <si>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</si>
  <si>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</si>
  <si>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</si>
  <si>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</si>
  <si>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</si>
  <si>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</si>
  <si>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</si>
  <si>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</si>
  <si>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</si>
  <si>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</si>
  <si>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</si>
  <si>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</si>
  <si>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</si>
  <si>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</si>
  <si>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</si>
  <si>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</si>
  <si>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</si>
  <si>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</si>
  <si>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</si>
  <si>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</si>
  <si>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</si>
  <si>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</si>
  <si>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</si>
  <si>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</si>
  <si>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</si>
  <si>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</si>
  <si>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</si>
  <si>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</si>
  <si>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</si>
  <si>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</si>
  <si>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</si>
  <si>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</si>
  <si>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</si>
  <si>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</si>
  <si>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</si>
  <si>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</si>
  <si>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</si>
  <si>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</si>
  <si>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</si>
  <si>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</si>
  <si>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</si>
  <si>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</si>
  <si>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</si>
  <si>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</si>
  <si>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</si>
  <si>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</si>
  <si>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</si>
  <si>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</si>
  <si>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</si>
  <si>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</si>
  <si>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</si>
  <si>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</si>
  <si>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</si>
  <si>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</si>
  <si>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</si>
  <si>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</si>
  <si>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</si>
  <si>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</si>
  <si>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</si>
  <si>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</si>
  <si>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</si>
  <si>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</si>
  <si>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</si>
  <si>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</si>
  <si>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</si>
  <si>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</si>
  <si>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</si>
  <si>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</si>
  <si>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</si>
  <si>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</si>
  <si>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</si>
  <si>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</si>
  <si>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</si>
  <si>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</si>
  <si>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</si>
  <si>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</si>
  <si>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</si>
  <si>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</si>
  <si>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</si>
  <si>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</si>
  <si>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</si>
  <si>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</si>
  <si>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</si>
  <si>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</si>
  <si>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</si>
  <si>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</si>
  <si>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</si>
  <si>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</si>
  <si>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</si>
  <si>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</si>
  <si>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</si>
  <si>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</si>
  <si>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</si>
  <si>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</si>
  <si>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</si>
  <si>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</si>
  <si>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</si>
  <si>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</si>
  <si>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</si>
  <si>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</si>
  <si>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</si>
  <si>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</si>
  <si>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</si>
  <si>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</si>
  <si>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</si>
  <si>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</si>
  <si>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</si>
  <si>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</si>
  <si>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</si>
  <si>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</si>
  <si>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</si>
  <si>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</si>
  <si>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</si>
  <si>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</si>
  <si>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</si>
  <si>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</si>
  <si>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</si>
  <si>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</si>
  <si>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</si>
  <si>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</si>
  <si>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</si>
  <si>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</si>
  <si>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</si>
  <si>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</si>
  <si>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</si>
  <si>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</si>
  <si>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</si>
  <si>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</si>
  <si>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</si>
  <si>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</si>
  <si>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</si>
  <si>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</si>
  <si>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</si>
  <si>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</si>
  <si>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</si>
  <si>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</si>
  <si>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</si>
  <si>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</si>
  <si>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</si>
  <si>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</si>
  <si>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</si>
  <si>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</si>
  <si>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</si>
  <si>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</si>
  <si>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</si>
  <si>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</si>
  <si>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</si>
  <si>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</si>
  <si>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</si>
  <si>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</si>
  <si>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</si>
  <si>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</si>
  <si>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</si>
  <si>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</si>
  <si>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</si>
  <si>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</si>
  <si>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</si>
  <si>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</si>
  <si>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</si>
  <si>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</si>
  <si>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</si>
  <si>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</si>
  <si>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</si>
  <si>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</si>
  <si>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</si>
  <si>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</si>
  <si>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</si>
  <si>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</si>
  <si>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</si>
  <si>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</si>
  <si>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</si>
  <si>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</si>
  <si>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</si>
  <si>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</si>
  <si>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</si>
  <si>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</si>
  <si>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</si>
  <si>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</si>
  <si>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</si>
  <si>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</si>
  <si>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</si>
  <si>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</si>
  <si>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</si>
  <si>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</si>
  <si>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</si>
  <si>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</si>
  <si>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</si>
  <si>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</si>
  <si>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</si>
  <si>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</si>
  <si>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</si>
  <si>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</si>
  <si>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</si>
  <si>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</si>
  <si>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</si>
  <si>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</si>
  <si>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</si>
  <si>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</si>
  <si>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</si>
  <si>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</si>
  <si>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</si>
  <si>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</si>
  <si>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</si>
  <si>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</si>
  <si>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</si>
  <si>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</si>
  <si>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</si>
  <si>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</si>
  <si>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</si>
  <si>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</si>
  <si>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</si>
  <si>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</si>
  <si>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</si>
  <si>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</si>
  <si>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</si>
  <si>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</si>
  <si>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</si>
  <si>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</si>
  <si>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</si>
  <si>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</si>
  <si>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</si>
  <si>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</si>
  <si>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</si>
  <si>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</si>
  <si>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</si>
  <si>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</si>
  <si>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</si>
  <si>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</si>
  <si>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</si>
  <si>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</si>
  <si>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</si>
  <si>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</si>
  <si>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</si>
  <si>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</si>
  <si>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</si>
  <si>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</si>
  <si>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</si>
  <si>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</si>
  <si>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</si>
  <si>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</si>
  <si>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</si>
  <si>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</si>
  <si>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</si>
  <si>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</si>
  <si>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</si>
  <si>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</si>
  <si>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</si>
  <si>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</si>
  <si>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</si>
  <si>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</si>
  <si>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</si>
  <si>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</si>
  <si>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</si>
  <si>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</si>
  <si>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</si>
  <si>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</si>
  <si>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</si>
  <si>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</si>
  <si>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</si>
  <si>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</si>
  <si>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</si>
  <si>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</si>
  <si>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</si>
  <si>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</si>
  <si>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</si>
  <si>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</si>
  <si>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</si>
  <si>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</si>
  <si>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</si>
  <si>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</si>
  <si>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</si>
  <si>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</si>
  <si>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</si>
  <si>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</si>
  <si>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</si>
  <si>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</si>
  <si>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</si>
  <si>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</si>
  <si>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</si>
  <si>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</si>
  <si>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</si>
  <si>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</si>
  <si>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</si>
  <si>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</si>
  <si>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</si>
  <si>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</si>
  <si>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</si>
  <si>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</si>
  <si>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</si>
  <si>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</si>
  <si>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</si>
  <si>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</si>
  <si>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</si>
  <si>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</si>
  <si>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</si>
  <si>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</si>
  <si>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</si>
  <si>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</si>
  <si>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</si>
  <si>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</si>
  <si>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</si>
  <si>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</si>
  <si>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</si>
  <si>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</si>
  <si>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</si>
  <si>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</si>
  <si>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</si>
  <si>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</si>
  <si>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</si>
  <si>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</si>
  <si>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</si>
  <si>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</si>
  <si>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</si>
  <si>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</si>
  <si>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</si>
  <si>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</si>
  <si>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</si>
  <si>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</si>
  <si>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</si>
  <si>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</si>
  <si>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</si>
  <si>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</si>
  <si>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</si>
  <si>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</si>
  <si>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</si>
  <si>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</si>
  <si>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</si>
  <si>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</si>
  <si>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</si>
  <si>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</si>
  <si>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</si>
  <si>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</si>
  <si>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</si>
  <si>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</si>
  <si>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</si>
  <si>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</si>
  <si>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</si>
  <si>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</si>
  <si>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</si>
  <si>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</si>
  <si>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</si>
  <si>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</si>
  <si>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</si>
  <si>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</si>
  <si>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</si>
  <si>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</si>
  <si>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</si>
  <si>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</si>
  <si>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</si>
  <si>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</si>
  <si>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</si>
  <si>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</si>
  <si>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</si>
  <si>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</si>
  <si>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</si>
  <si>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</si>
  <si>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</si>
  <si>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</si>
  <si>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</si>
  <si>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</si>
  <si>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</si>
  <si>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</si>
  <si>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</si>
  <si>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</si>
  <si>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</si>
  <si>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</si>
  <si>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</si>
  <si>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</si>
  <si>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</si>
  <si>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</si>
  <si>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</si>
  <si>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</si>
  <si>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</si>
  <si>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</si>
  <si>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</si>
  <si>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</si>
  <si>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</si>
  <si>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</si>
  <si>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</si>
  <si>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</si>
  <si>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</si>
  <si>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</si>
  <si>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</si>
  <si>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</si>
  <si>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</si>
  <si>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</si>
  <si>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</si>
  <si>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</si>
  <si>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</si>
  <si>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</si>
  <si>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</si>
  <si>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</si>
  <si>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</si>
  <si>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</si>
  <si>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</si>
  <si>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</si>
  <si>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</si>
  <si>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</si>
  <si>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</si>
  <si>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</si>
  <si>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</si>
  <si>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</si>
  <si>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</si>
  <si>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</si>
  <si>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</si>
  <si>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</si>
  <si>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</si>
  <si>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</si>
  <si>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</si>
  <si>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</si>
  <si>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</si>
  <si>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</si>
  <si>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</si>
  <si>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</si>
  <si>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</si>
  <si>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</si>
  <si>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</si>
  <si>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</si>
  <si>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</si>
  <si>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</si>
  <si>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</si>
  <si>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</si>
  <si>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</si>
  <si>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</si>
  <si>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</si>
  <si>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</si>
  <si>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</si>
  <si>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</si>
  <si>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</si>
  <si>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</si>
  <si>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</si>
  <si>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</si>
  <si>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</si>
  <si>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</si>
  <si>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</si>
  <si>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</si>
  <si>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</si>
  <si>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</si>
  <si>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</si>
  <si>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</si>
  <si>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</si>
  <si>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</si>
  <si>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</si>
  <si>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</si>
  <si>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</si>
  <si>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</si>
  <si>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</si>
  <si>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</si>
  <si>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</si>
  <si>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</si>
  <si>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</si>
  <si>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</si>
  <si>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</si>
  <si>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</si>
  <si>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</si>
  <si>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</si>
  <si>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</si>
  <si>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</si>
  <si>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</si>
  <si>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</si>
  <si>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</si>
  <si>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</si>
  <si>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</si>
  <si>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</si>
  <si>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</si>
  <si>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</si>
  <si>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</si>
  <si>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</si>
  <si>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</si>
  <si>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</si>
  <si>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</si>
  <si>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</si>
  <si>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</si>
  <si>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</si>
  <si>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</si>
  <si>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</si>
  <si>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</si>
  <si>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</si>
  <si>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</si>
  <si>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</si>
  <si>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</si>
  <si>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</si>
  <si>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</si>
  <si>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</si>
  <si>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</si>
  <si>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</si>
  <si>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</si>
  <si>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</si>
  <si>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</si>
  <si>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</si>
  <si>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</si>
  <si>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</si>
  <si>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</si>
  <si>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</si>
  <si>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</si>
  <si>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</si>
  <si>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</si>
  <si>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</si>
  <si>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</si>
  <si>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</si>
  <si>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</si>
  <si>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</si>
  <si>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</si>
  <si>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</si>
  <si>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</si>
  <si>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</si>
  <si>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</si>
  <si>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</si>
  <si>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</si>
  <si>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</si>
  <si>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</si>
  <si>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</si>
  <si>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</si>
  <si>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</si>
  <si>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</si>
  <si>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</si>
  <si>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</si>
  <si>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</si>
  <si>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</si>
  <si>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</si>
  <si>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</si>
  <si>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</si>
  <si>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</si>
  <si>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</si>
  <si>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</si>
  <si>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</si>
  <si>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</si>
  <si>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</si>
  <si>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</si>
  <si>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</si>
  <si>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</si>
  <si>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</si>
  <si>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</si>
  <si>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</si>
  <si>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</si>
  <si>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</si>
  <si>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</si>
  <si>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</si>
  <si>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</si>
  <si>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</si>
  <si>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</si>
  <si>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</si>
  <si>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</si>
  <si>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</si>
  <si>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</si>
  <si>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</si>
  <si>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</si>
  <si>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</si>
  <si>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</si>
  <si>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</si>
  <si>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</si>
  <si>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</si>
  <si>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</si>
  <si>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</si>
  <si>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</si>
  <si>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</si>
  <si>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</si>
  <si>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</si>
  <si>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</si>
  <si>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</si>
  <si>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</si>
  <si>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</si>
  <si>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</si>
  <si>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</si>
  <si>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</si>
  <si>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</si>
  <si>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</si>
  <si>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</si>
  <si>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</si>
  <si>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</si>
  <si>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</si>
  <si>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</si>
  <si>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</si>
  <si>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</si>
  <si>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</si>
  <si>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</si>
  <si>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</si>
  <si>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</si>
  <si>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</si>
  <si>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</si>
  <si>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</si>
  <si>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</si>
  <si>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</si>
  <si>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</si>
  <si>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</si>
  <si>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</si>
  <si>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</si>
  <si>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</si>
  <si>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</si>
  <si>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</si>
  <si>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</si>
  <si>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</si>
  <si>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</si>
  <si>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</si>
  <si>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</si>
  <si>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</si>
  <si>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</si>
  <si>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</si>
  <si>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</si>
  <si>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</si>
  <si>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</si>
  <si>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</si>
  <si>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</si>
  <si>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</si>
  <si>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</si>
  <si>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</si>
  <si>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</si>
  <si>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</si>
  <si>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</si>
  <si>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</si>
  <si>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</si>
  <si>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</si>
  <si>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</si>
  <si>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</si>
  <si>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</si>
  <si>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</si>
  <si>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</si>
  <si>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</si>
  <si>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</si>
  <si>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</si>
  <si>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</si>
  <si>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</si>
  <si>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</si>
  <si>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</si>
  <si>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</si>
  <si>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</si>
  <si>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</si>
  <si>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</si>
  <si>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</si>
  <si>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</si>
  <si>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</si>
  <si>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</si>
  <si>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</si>
  <si>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</si>
  <si>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</si>
  <si>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</si>
  <si>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</si>
  <si>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</si>
  <si>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</si>
  <si>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</si>
  <si>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</si>
  <si>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</si>
  <si>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</si>
  <si>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</si>
  <si>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</si>
  <si>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</si>
  <si>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</si>
  <si>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</si>
  <si>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</si>
  <si>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</si>
  <si>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</si>
  <si>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</si>
  <si>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</si>
  <si>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</si>
  <si>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</si>
  <si>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</si>
  <si>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Newmarket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</si>
</sst>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399</v>
      </c>
      <c r="C2" s="21">
        <v>399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1045615.84</v>
      </c>
      <c r="G9" s="18"/>
      <c r="H9" s="18"/>
      <c r="I9" s="18"/>
      <c r="J9" s="67">
        <f>SUM(I439)</f>
        <v>797585.89999999991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11818.17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111445.16</v>
      </c>
      <c r="G14" s="18"/>
      <c r="H14" s="18">
        <v>115258.77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4912.4399999999996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20378.5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>
        <v>-4571.79</v>
      </c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1177439.5</v>
      </c>
      <c r="G19" s="41">
        <f>SUM(G9:G18)</f>
        <v>12158.82</v>
      </c>
      <c r="H19" s="41">
        <f>SUM(H9:H18)</f>
        <v>115258.77</v>
      </c>
      <c r="I19" s="41">
        <f>SUM(I9:I18)</f>
        <v>0</v>
      </c>
      <c r="J19" s="41">
        <f>SUM(J9:J18)</f>
        <v>797585.89999999991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74074.05</v>
      </c>
      <c r="G22" s="18">
        <v>-7639.24</v>
      </c>
      <c r="H22" s="18">
        <v>98486.03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-420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602516.52</v>
      </c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676170.57000000007</v>
      </c>
      <c r="G32" s="41">
        <f>SUM(G22:G31)</f>
        <v>-7639.24</v>
      </c>
      <c r="H32" s="41">
        <f>SUM(H22:H31)</f>
        <v>98486.03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797585.89999999991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19798.060000000001</v>
      </c>
      <c r="H49" s="18">
        <v>16772.740000000002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351268.93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501268.93</v>
      </c>
      <c r="G51" s="41">
        <f>SUM(G35:G50)</f>
        <v>19798.060000000001</v>
      </c>
      <c r="H51" s="41">
        <f>SUM(H35:H50)</f>
        <v>16772.740000000002</v>
      </c>
      <c r="I51" s="41">
        <f>SUM(I35:I50)</f>
        <v>0</v>
      </c>
      <c r="J51" s="41">
        <f>SUM(J35:J50)</f>
        <v>797585.89999999991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1177439.5</v>
      </c>
      <c r="G52" s="41">
        <f>G51+G32</f>
        <v>12158.820000000002</v>
      </c>
      <c r="H52" s="41">
        <f>H51+H32</f>
        <v>115258.77</v>
      </c>
      <c r="I52" s="41">
        <f>I51+I32</f>
        <v>0</v>
      </c>
      <c r="J52" s="41">
        <f>J51+J32</f>
        <v>797585.89999999991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11129910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11129910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21702.54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3625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25327.54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2130.1999999999998</v>
      </c>
      <c r="G96" s="18"/>
      <c r="H96" s="18"/>
      <c r="I96" s="18"/>
      <c r="J96" s="18">
        <v>2668.47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170196.8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94069.9</v>
      </c>
      <c r="G110" s="18">
        <v>5799.86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96200.099999999991</v>
      </c>
      <c r="G111" s="41">
        <f>SUM(G96:G110)</f>
        <v>175996.65999999997</v>
      </c>
      <c r="H111" s="41">
        <f>SUM(H96:H110)</f>
        <v>0</v>
      </c>
      <c r="I111" s="41">
        <f>SUM(I96:I110)</f>
        <v>0</v>
      </c>
      <c r="J111" s="41">
        <f>SUM(J96:J110)</f>
        <v>2668.47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11251437.639999999</v>
      </c>
      <c r="G112" s="41">
        <f>G60+G111</f>
        <v>175996.65999999997</v>
      </c>
      <c r="H112" s="41">
        <f>H60+H79+H94+H111</f>
        <v>0</v>
      </c>
      <c r="I112" s="41">
        <f>I60+I111</f>
        <v>0</v>
      </c>
      <c r="J112" s="41">
        <f>J60+J111</f>
        <v>2668.47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2466886.52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1763428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6474.01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4236788.5299999993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70323.259999999995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14713.6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4782.93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85036.86</v>
      </c>
      <c r="G136" s="41">
        <f>SUM(G123:G135)</f>
        <v>4782.93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4321825.3899999997</v>
      </c>
      <c r="G140" s="41">
        <f>G121+SUM(G136:G137)</f>
        <v>4782.93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>
        <v>17429.2</v>
      </c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17429.2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171715.05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59490.41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140953.85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263001.49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334795.03999999998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334795.03999999998</v>
      </c>
      <c r="G162" s="41">
        <f>SUM(G150:G161)</f>
        <v>140953.85</v>
      </c>
      <c r="H162" s="41">
        <f>SUM(H150:H161)</f>
        <v>494206.94999999995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13904.19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334795.03999999998</v>
      </c>
      <c r="G169" s="41">
        <f>G147+G162+SUM(G163:G168)</f>
        <v>158383.05000000002</v>
      </c>
      <c r="H169" s="41">
        <f>H147+H162+SUM(H163:H168)</f>
        <v>508111.13999999996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856.06</v>
      </c>
      <c r="H179" s="18"/>
      <c r="I179" s="18"/>
      <c r="J179" s="18">
        <v>150000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856.06</v>
      </c>
      <c r="H183" s="41">
        <f>SUM(H179:H182)</f>
        <v>0</v>
      </c>
      <c r="I183" s="41">
        <f>SUM(I179:I182)</f>
        <v>0</v>
      </c>
      <c r="J183" s="41">
        <f>SUM(J179:J182)</f>
        <v>150000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552205.39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552205.39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552205.39</v>
      </c>
      <c r="G192" s="41">
        <f>G183+SUM(G188:G191)</f>
        <v>856.06</v>
      </c>
      <c r="H192" s="41">
        <f>+H183+SUM(H188:H191)</f>
        <v>0</v>
      </c>
      <c r="I192" s="41">
        <f>I177+I183+SUM(I188:I191)</f>
        <v>0</v>
      </c>
      <c r="J192" s="41">
        <f>J183</f>
        <v>150000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16460263.459999997</v>
      </c>
      <c r="G193" s="47">
        <f>G112+G140+G169+G192</f>
        <v>340018.7</v>
      </c>
      <c r="H193" s="47">
        <f>H112+H140+H169+H192</f>
        <v>508111.13999999996</v>
      </c>
      <c r="I193" s="47">
        <f>I112+I140+I169+I192</f>
        <v>0</v>
      </c>
      <c r="J193" s="47">
        <f>J112+J140+J192</f>
        <v>152668.47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1769839.09+74820.41+28887.5+6615.97+4409.86+890849.77+7568.39+40675.61</f>
        <v>2823666.6</v>
      </c>
      <c r="G197" s="18">
        <f>1364503.46-34.84</f>
        <v>1364468.6199999999</v>
      </c>
      <c r="H197" s="18">
        <f>1493.45</f>
        <v>1493.45</v>
      </c>
      <c r="I197" s="18">
        <f>42459.83+11835.24+1044.02+70+21434.65+2487.3+850.48</f>
        <v>80181.51999999999</v>
      </c>
      <c r="J197" s="18">
        <f>5032.28+13224.59+1027.32+5136.09+12355.23+1830.98</f>
        <v>38606.49</v>
      </c>
      <c r="K197" s="18">
        <f>5187.71</f>
        <v>5187.71</v>
      </c>
      <c r="L197" s="19">
        <f>SUM(F197:K197)</f>
        <v>4313604.3899999997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438320.2+474711.62+5425+15180+41100+21320.6+21942.29+164745.13+193753.21+360+7402.27</f>
        <v>1384260.32</v>
      </c>
      <c r="G198" s="18">
        <v>552468.07999999996</v>
      </c>
      <c r="H198" s="18">
        <f>213.2+5441.55+747744.36+28.33</f>
        <v>753427.44</v>
      </c>
      <c r="I198" s="18">
        <f>1499.87+4777.54+445+100.27+2068.38+1532.23+337+129.99</f>
        <v>10890.28</v>
      </c>
      <c r="J198" s="18">
        <f>2818.88+6197.07+900.82</f>
        <v>9916.77</v>
      </c>
      <c r="K198" s="18"/>
      <c r="L198" s="19">
        <f>SUM(F198:K198)</f>
        <v>2710962.8899999997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62610+158516.12+910+6512.5+6000+1597.5+8895+17610.8+4734.36+9700+2880+7305.14</f>
        <v>287271.42</v>
      </c>
      <c r="G200" s="18">
        <v>120279</v>
      </c>
      <c r="H200" s="18">
        <f>2077+1470+70.2</f>
        <v>3617.2</v>
      </c>
      <c r="I200" s="18">
        <v>1332.05</v>
      </c>
      <c r="J200" s="18"/>
      <c r="K200" s="18">
        <f>385</f>
        <v>385</v>
      </c>
      <c r="L200" s="19">
        <f>SUM(F200:K200)</f>
        <v>412884.67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50387+40883+900+131384+86875+79183.11+82097.72+14503.68+20805.6+23850</f>
        <v>530869.10999999987</v>
      </c>
      <c r="G202" s="18">
        <v>283311.42</v>
      </c>
      <c r="H202" s="18">
        <f>457.29+990.86+295+214.89</f>
        <v>1958.04</v>
      </c>
      <c r="I202" s="18">
        <f>494.71+2416.93+300+815.5+1381.66+742.48+336.91+379.51+152.25</f>
        <v>7019.9500000000007</v>
      </c>
      <c r="J202" s="18">
        <f>1093</f>
        <v>1093</v>
      </c>
      <c r="K202" s="18"/>
      <c r="L202" s="19">
        <f t="shared" ref="L202:L208" si="0">SUM(F202:K202)</f>
        <v>824251.51999999979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37069+59715.04+126706.49+21897</f>
        <v>245387.53000000003</v>
      </c>
      <c r="G203" s="18">
        <v>95803.36</v>
      </c>
      <c r="H203" s="18">
        <f>15595.98+7627.49+1850.28+475+2723.24+26946.39+6117.97+655.33+4945.38+1677.67+268.18</f>
        <v>68882.909999999989</v>
      </c>
      <c r="I203" s="18">
        <f>724.36+4494.12+1240+782.93+2225.9+16271.27+45330.62+180.79+576.36+1392.5+790.87+450</f>
        <v>74459.72</v>
      </c>
      <c r="J203" s="18">
        <f>30361.52+15713.09+236.8+14019.11+4051.99+4931.34</f>
        <v>69313.850000000006</v>
      </c>
      <c r="K203" s="18">
        <f>884.15+545.38</f>
        <v>1429.53</v>
      </c>
      <c r="L203" s="19">
        <f t="shared" si="0"/>
        <v>555276.9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11924.11+136918.5+93383.56</f>
        <v>242226.16999999998</v>
      </c>
      <c r="G204" s="18">
        <v>104192</v>
      </c>
      <c r="H204" s="18">
        <f>104330.52+12688.66+5142.83</f>
        <v>122162.01000000001</v>
      </c>
      <c r="I204" s="18">
        <f>15651.38+725.5</f>
        <v>16376.88</v>
      </c>
      <c r="J204" s="18">
        <f>832.48</f>
        <v>832.48</v>
      </c>
      <c r="K204" s="18">
        <f>69567.01+3343.42+1767.03</f>
        <v>74677.459999999992</v>
      </c>
      <c r="L204" s="19">
        <f t="shared" si="0"/>
        <v>560467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170686+67141.6+730+82006+34730.4</f>
        <v>355294</v>
      </c>
      <c r="G205" s="18">
        <v>136148</v>
      </c>
      <c r="H205" s="18">
        <f>11600+1467.12+3990.17+648.8+6444.78+1019.16+947.51+1052.4</f>
        <v>27169.94</v>
      </c>
      <c r="I205" s="18">
        <f>1253.66+984.06</f>
        <v>2237.7200000000003</v>
      </c>
      <c r="J205" s="18"/>
      <c r="K205" s="18">
        <v>1962.73</v>
      </c>
      <c r="L205" s="19">
        <f t="shared" si="0"/>
        <v>522812.38999999996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144035.17</f>
        <v>144035.17000000001</v>
      </c>
      <c r="G206" s="18">
        <v>53126.080000000002</v>
      </c>
      <c r="H206" s="18"/>
      <c r="I206" s="18"/>
      <c r="J206" s="18"/>
      <c r="K206" s="18"/>
      <c r="L206" s="19">
        <f t="shared" si="0"/>
        <v>197161.25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151652.56+3311.9+89605.15</f>
        <v>244569.61</v>
      </c>
      <c r="G207" s="18">
        <v>82140.22</v>
      </c>
      <c r="H207" s="18">
        <f>9830.05+8502.18+1059.11+6598.28+55763.13+22171.98+5164.29+2978.85+635.44+2255.23+28202.08+11378.34</f>
        <v>154538.96</v>
      </c>
      <c r="I207" s="18">
        <f>19102.83+39217.28+2835.51+38821.73+8685+27740.79+25287.92</f>
        <v>161691.06</v>
      </c>
      <c r="J207" s="18">
        <f>1428.53+836.74+2748.55+50.79+102</f>
        <v>5166.6099999999997</v>
      </c>
      <c r="K207" s="18"/>
      <c r="L207" s="19">
        <f t="shared" si="0"/>
        <v>648106.45999999985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5701.93+2437.27</f>
        <v>8139.2000000000007</v>
      </c>
      <c r="G208" s="18">
        <v>2685</v>
      </c>
      <c r="H208" s="18">
        <v>355405.08</v>
      </c>
      <c r="I208" s="18"/>
      <c r="J208" s="18"/>
      <c r="K208" s="18"/>
      <c r="L208" s="19">
        <f t="shared" si="0"/>
        <v>366229.28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576.33</f>
        <v>576.33000000000004</v>
      </c>
      <c r="G209" s="18">
        <v>120</v>
      </c>
      <c r="H209" s="18"/>
      <c r="I209" s="18"/>
      <c r="J209" s="18"/>
      <c r="K209" s="18"/>
      <c r="L209" s="19">
        <f>SUM(F209:K209)</f>
        <v>696.33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6266295.46</v>
      </c>
      <c r="G211" s="41">
        <f t="shared" si="1"/>
        <v>2794741.78</v>
      </c>
      <c r="H211" s="41">
        <f t="shared" si="1"/>
        <v>1488655.03</v>
      </c>
      <c r="I211" s="41">
        <f t="shared" si="1"/>
        <v>354189.18</v>
      </c>
      <c r="J211" s="41">
        <f t="shared" si="1"/>
        <v>124929.2</v>
      </c>
      <c r="K211" s="41">
        <f t="shared" si="1"/>
        <v>83642.429999999993</v>
      </c>
      <c r="L211" s="41">
        <f t="shared" si="1"/>
        <v>11112453.079999998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1101972.46+5540+22392.5+32649.35+5106.48</f>
        <v>1167660.79</v>
      </c>
      <c r="G233" s="18">
        <v>522994</v>
      </c>
      <c r="H233" s="18">
        <f>2393.72</f>
        <v>2393.7199999999998</v>
      </c>
      <c r="I233" s="18">
        <f>338.87+26564.3+5426.85+4756.94+2836.99</f>
        <v>39923.949999999997</v>
      </c>
      <c r="J233" s="18">
        <f>8549.6+1579.2+1861.94</f>
        <v>11990.740000000002</v>
      </c>
      <c r="K233" s="18">
        <f>9658.59</f>
        <v>9658.59</v>
      </c>
      <c r="L233" s="19">
        <f>SUM(F233:K233)</f>
        <v>1754621.79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323088.55+195606.57+752.5+650+29078.7+7709.45</f>
        <v>556885.7699999999</v>
      </c>
      <c r="G234" s="18">
        <v>202401.92000000001</v>
      </c>
      <c r="H234" s="18">
        <f>56.92+599.5+262720.99</f>
        <v>263377.40999999997</v>
      </c>
      <c r="I234" s="18">
        <f>1270.76+284.08+586.72+95.41+95.41+726.73</f>
        <v>3059.1099999999997</v>
      </c>
      <c r="J234" s="18">
        <f>249.87+2177.35</f>
        <v>2427.2199999999998</v>
      </c>
      <c r="K234" s="18"/>
      <c r="L234" s="19">
        <f>SUM(F234:K234)</f>
        <v>1028151.4299999998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163184+879.02</f>
        <v>164063.01999999999</v>
      </c>
      <c r="I235" s="18">
        <f>185.84</f>
        <v>185.84</v>
      </c>
      <c r="J235" s="18"/>
      <c r="K235" s="18"/>
      <c r="L235" s="19">
        <f>SUM(F235:K235)</f>
        <v>164248.85999999999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26416.2+140+18852.25+36027+2940</f>
        <v>84375.45</v>
      </c>
      <c r="G236" s="18">
        <v>34101</v>
      </c>
      <c r="H236" s="18">
        <f>12176+27814.83+71.68+992.18</f>
        <v>41054.69</v>
      </c>
      <c r="I236" s="18">
        <v>3199.67</v>
      </c>
      <c r="J236" s="18">
        <f>7920</f>
        <v>7920</v>
      </c>
      <c r="K236" s="18">
        <f>6545+4305</f>
        <v>10850</v>
      </c>
      <c r="L236" s="19">
        <f>SUM(F236:K236)</f>
        <v>181500.81000000003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53555.32+23858.56+31208.4+2100+27821.09+35775</f>
        <v>174318.37</v>
      </c>
      <c r="G238" s="18">
        <v>87254.58</v>
      </c>
      <c r="H238" s="18">
        <v>5411.64</v>
      </c>
      <c r="I238" s="18">
        <v>3930.12</v>
      </c>
      <c r="J238" s="18"/>
      <c r="K238" s="18">
        <f>195</f>
        <v>195</v>
      </c>
      <c r="L238" s="19">
        <f t="shared" ref="L238:L244" si="4">SUM(F238:K238)</f>
        <v>271109.71000000002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87466.46</v>
      </c>
      <c r="G239" s="18">
        <v>29234.639999999999</v>
      </c>
      <c r="H239" s="18">
        <v>40199.519999999997</v>
      </c>
      <c r="I239" s="18">
        <v>30331.4</v>
      </c>
      <c r="J239" s="18">
        <f>83.2+14134.36+413+15271.61</f>
        <v>29902.170000000002</v>
      </c>
      <c r="K239" s="18">
        <v>502.27</v>
      </c>
      <c r="L239" s="19">
        <f t="shared" si="4"/>
        <v>217636.46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4189.55+48106.5+32810.44</f>
        <v>85106.49</v>
      </c>
      <c r="G240" s="18">
        <v>36608</v>
      </c>
      <c r="H240" s="18">
        <f>36656.67+4458.18+1806.94</f>
        <v>42921.79</v>
      </c>
      <c r="I240" s="18">
        <f>5499.13+254.91</f>
        <v>5754.04</v>
      </c>
      <c r="J240" s="18">
        <f>292.49</f>
        <v>292.49</v>
      </c>
      <c r="K240" s="18">
        <f>24442.46+1174.71+620.85</f>
        <v>26238.019999999997</v>
      </c>
      <c r="L240" s="19">
        <f t="shared" si="4"/>
        <v>196920.83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103565+66623.28+210+11625</f>
        <v>182023.28</v>
      </c>
      <c r="G241" s="18">
        <v>61599</v>
      </c>
      <c r="H241" s="18">
        <f>9662+1796.19+1103.5+1724.69</f>
        <v>14286.380000000001</v>
      </c>
      <c r="I241" s="18">
        <f>1378.76</f>
        <v>1378.76</v>
      </c>
      <c r="J241" s="18">
        <f>432.73</f>
        <v>432.73</v>
      </c>
      <c r="K241" s="18">
        <f>5304.1+8576.7</f>
        <v>13880.800000000001</v>
      </c>
      <c r="L241" s="19">
        <f t="shared" si="4"/>
        <v>273600.95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50606.95</f>
        <v>50606.95</v>
      </c>
      <c r="G242" s="18">
        <v>18665.919999999998</v>
      </c>
      <c r="H242" s="18"/>
      <c r="I242" s="18"/>
      <c r="J242" s="18"/>
      <c r="K242" s="18"/>
      <c r="L242" s="19">
        <f t="shared" si="4"/>
        <v>69272.87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90097.9+5305.3</f>
        <v>95403.199999999997</v>
      </c>
      <c r="G243" s="18">
        <v>36686.78</v>
      </c>
      <c r="H243" s="18">
        <f>7790.15+5720.8+4818.32+769.36+2650.24+8970.8+29422.93+85413.63+11413.33</f>
        <v>156969.56</v>
      </c>
      <c r="I243" s="18">
        <f>11433.24+30029.97+143.52+37672.53</f>
        <v>79279.259999999995</v>
      </c>
      <c r="J243" s="18">
        <f>3769.89+50.8+152.99</f>
        <v>3973.6800000000003</v>
      </c>
      <c r="K243" s="18"/>
      <c r="L243" s="19">
        <f t="shared" si="4"/>
        <v>372312.48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197541.77</v>
      </c>
      <c r="I244" s="18"/>
      <c r="J244" s="18"/>
      <c r="K244" s="18"/>
      <c r="L244" s="19">
        <f t="shared" si="4"/>
        <v>197541.77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576.28</f>
        <v>576.28</v>
      </c>
      <c r="G245" s="18">
        <v>120</v>
      </c>
      <c r="H245" s="18"/>
      <c r="I245" s="18"/>
      <c r="J245" s="18"/>
      <c r="K245" s="18"/>
      <c r="L245" s="19">
        <f>SUM(F245:K245)</f>
        <v>696.28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2484423.04</v>
      </c>
      <c r="G247" s="41">
        <f t="shared" si="5"/>
        <v>1029665.8400000001</v>
      </c>
      <c r="H247" s="41">
        <f t="shared" si="5"/>
        <v>928219.5</v>
      </c>
      <c r="I247" s="41">
        <f t="shared" si="5"/>
        <v>167042.14999999997</v>
      </c>
      <c r="J247" s="41">
        <f t="shared" si="5"/>
        <v>56939.030000000006</v>
      </c>
      <c r="K247" s="41">
        <f t="shared" si="5"/>
        <v>61324.68</v>
      </c>
      <c r="L247" s="41">
        <f t="shared" si="5"/>
        <v>4727614.2399999993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59402+552205.39</f>
        <v>611607.39</v>
      </c>
      <c r="I255" s="18"/>
      <c r="J255" s="18"/>
      <c r="K255" s="18"/>
      <c r="L255" s="19">
        <f t="shared" si="6"/>
        <v>611607.39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611607.39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611607.39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8750718.5</v>
      </c>
      <c r="G257" s="41">
        <f t="shared" si="8"/>
        <v>3824407.62</v>
      </c>
      <c r="H257" s="41">
        <f t="shared" si="8"/>
        <v>3028481.9200000004</v>
      </c>
      <c r="I257" s="41">
        <f t="shared" si="8"/>
        <v>521231.32999999996</v>
      </c>
      <c r="J257" s="41">
        <f t="shared" si="8"/>
        <v>181868.23</v>
      </c>
      <c r="K257" s="41">
        <f t="shared" si="8"/>
        <v>144967.10999999999</v>
      </c>
      <c r="L257" s="41">
        <f t="shared" si="8"/>
        <v>16451674.709999997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856.06</v>
      </c>
      <c r="L263" s="19">
        <f>SUM(F263:K263)</f>
        <v>856.06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150000</v>
      </c>
      <c r="L266" s="19">
        <f t="shared" si="9"/>
        <v>150000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150856.06</v>
      </c>
      <c r="L270" s="41">
        <f t="shared" si="9"/>
        <v>150856.06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8750718.5</v>
      </c>
      <c r="G271" s="42">
        <f t="shared" si="11"/>
        <v>3824407.62</v>
      </c>
      <c r="H271" s="42">
        <f t="shared" si="11"/>
        <v>3028481.9200000004</v>
      </c>
      <c r="I271" s="42">
        <f t="shared" si="11"/>
        <v>521231.32999999996</v>
      </c>
      <c r="J271" s="42">
        <f t="shared" si="11"/>
        <v>181868.23</v>
      </c>
      <c r="K271" s="42">
        <f t="shared" si="11"/>
        <v>295823.17</v>
      </c>
      <c r="L271" s="42">
        <f t="shared" si="11"/>
        <v>16602530.769999998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119484.97</v>
      </c>
      <c r="G276" s="18">
        <v>36801.800000000003</v>
      </c>
      <c r="H276" s="18">
        <f>321.4+1500</f>
        <v>1821.4</v>
      </c>
      <c r="I276" s="18">
        <f>955.66+1016.53</f>
        <v>1972.19</v>
      </c>
      <c r="J276" s="18">
        <v>3891.78</v>
      </c>
      <c r="K276" s="18"/>
      <c r="L276" s="19">
        <f>SUM(F276:K276)</f>
        <v>163972.14000000001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164255.75</v>
      </c>
      <c r="G277" s="18">
        <v>75831</v>
      </c>
      <c r="H277" s="18">
        <f>10260+940</f>
        <v>11200</v>
      </c>
      <c r="I277" s="18">
        <v>2951.49</v>
      </c>
      <c r="J277" s="18">
        <v>7564.93</v>
      </c>
      <c r="K277" s="18"/>
      <c r="L277" s="19">
        <f>SUM(F277:K277)</f>
        <v>261803.16999999998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18579.259999999998</v>
      </c>
      <c r="G282" s="18">
        <v>4443.25</v>
      </c>
      <c r="H282" s="18">
        <v>31386.17</v>
      </c>
      <c r="I282" s="18">
        <v>2944.54</v>
      </c>
      <c r="J282" s="18"/>
      <c r="K282" s="18"/>
      <c r="L282" s="19">
        <f t="shared" si="12"/>
        <v>57353.219999999994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302319.98</v>
      </c>
      <c r="G290" s="42">
        <f t="shared" si="13"/>
        <v>117076.05</v>
      </c>
      <c r="H290" s="42">
        <f t="shared" si="13"/>
        <v>44407.57</v>
      </c>
      <c r="I290" s="42">
        <f t="shared" si="13"/>
        <v>7868.22</v>
      </c>
      <c r="J290" s="42">
        <f t="shared" si="13"/>
        <v>11456.710000000001</v>
      </c>
      <c r="K290" s="42">
        <f t="shared" si="13"/>
        <v>0</v>
      </c>
      <c r="L290" s="41">
        <f t="shared" si="13"/>
        <v>483128.52999999997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2123</v>
      </c>
      <c r="G314" s="18">
        <v>276.81</v>
      </c>
      <c r="H314" s="18">
        <f>100.09+750</f>
        <v>850.09</v>
      </c>
      <c r="I314" s="18">
        <v>1375.62</v>
      </c>
      <c r="J314" s="18"/>
      <c r="K314" s="18">
        <v>1100</v>
      </c>
      <c r="L314" s="19">
        <f>SUM(F314:K314)</f>
        <v>5725.52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945.75</v>
      </c>
      <c r="G315" s="18">
        <v>206.01</v>
      </c>
      <c r="H315" s="18"/>
      <c r="I315" s="18">
        <f>710.67</f>
        <v>710.67</v>
      </c>
      <c r="J315" s="18"/>
      <c r="K315" s="18"/>
      <c r="L315" s="19">
        <f>SUM(F315:K315)</f>
        <v>1862.4299999999998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200</v>
      </c>
      <c r="G317" s="18">
        <v>46.66</v>
      </c>
      <c r="H317" s="18"/>
      <c r="I317" s="18"/>
      <c r="J317" s="18"/>
      <c r="K317" s="18"/>
      <c r="L317" s="19">
        <f>SUM(F317:K317)</f>
        <v>246.66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4955.8999999999996</v>
      </c>
      <c r="G320" s="18">
        <v>920.59</v>
      </c>
      <c r="H320" s="18">
        <v>10556.24</v>
      </c>
      <c r="I320" s="18">
        <v>742.15</v>
      </c>
      <c r="J320" s="18"/>
      <c r="K320" s="18"/>
      <c r="L320" s="19">
        <f t="shared" si="16"/>
        <v>17174.88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895</v>
      </c>
      <c r="I325" s="18"/>
      <c r="J325" s="18"/>
      <c r="K325" s="18"/>
      <c r="L325" s="19">
        <f t="shared" si="16"/>
        <v>895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8224.65</v>
      </c>
      <c r="G328" s="42">
        <f t="shared" si="17"/>
        <v>1450.0700000000002</v>
      </c>
      <c r="H328" s="42">
        <f t="shared" si="17"/>
        <v>12301.33</v>
      </c>
      <c r="I328" s="42">
        <f t="shared" si="17"/>
        <v>2828.44</v>
      </c>
      <c r="J328" s="42">
        <f t="shared" si="17"/>
        <v>0</v>
      </c>
      <c r="K328" s="42">
        <f t="shared" si="17"/>
        <v>1100</v>
      </c>
      <c r="L328" s="41">
        <f t="shared" si="17"/>
        <v>25904.49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310544.63</v>
      </c>
      <c r="G338" s="41">
        <f t="shared" si="20"/>
        <v>118526.12000000001</v>
      </c>
      <c r="H338" s="41">
        <f t="shared" si="20"/>
        <v>56708.9</v>
      </c>
      <c r="I338" s="41">
        <f t="shared" si="20"/>
        <v>10696.66</v>
      </c>
      <c r="J338" s="41">
        <f t="shared" si="20"/>
        <v>11456.710000000001</v>
      </c>
      <c r="K338" s="41">
        <f t="shared" si="20"/>
        <v>1100</v>
      </c>
      <c r="L338" s="41">
        <f t="shared" si="20"/>
        <v>509033.01999999996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310544.63</v>
      </c>
      <c r="G352" s="41">
        <f>G338</f>
        <v>118526.12000000001</v>
      </c>
      <c r="H352" s="41">
        <f>H338</f>
        <v>56708.9</v>
      </c>
      <c r="I352" s="41">
        <f>I338</f>
        <v>10696.66</v>
      </c>
      <c r="J352" s="41">
        <f>J338</f>
        <v>11456.710000000001</v>
      </c>
      <c r="K352" s="47">
        <f>K338+K351</f>
        <v>1100</v>
      </c>
      <c r="L352" s="41">
        <f>L338+L351</f>
        <v>509033.01999999996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28542.54+47696.93+23757.73</f>
        <v>99997.2</v>
      </c>
      <c r="G358" s="18">
        <f>277.5+460.19+2298.21+3219.26+1480+50.32+51.8+16903.2+3327.81+2127.97+350+4882.88+1771.28+1402.1</f>
        <v>38602.519999999997</v>
      </c>
      <c r="H358" s="18">
        <f>340.76+2166.86+4429.5</f>
        <v>6937.12</v>
      </c>
      <c r="I358" s="18">
        <f>196.79+3892.43+68055.8+1921.12+40538.93</f>
        <v>114605.07</v>
      </c>
      <c r="J358" s="18"/>
      <c r="K358" s="18">
        <v>507.64</v>
      </c>
      <c r="L358" s="13">
        <f>SUM(F358:K358)</f>
        <v>260649.55000000002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10028.46+23046.1</f>
        <v>33074.559999999998</v>
      </c>
      <c r="G360" s="18">
        <f>97.5+161.69+807.48+1131.09+520+17.68+18.2+3255.25+1732.24+934.74</f>
        <v>8675.869999999999</v>
      </c>
      <c r="H360" s="18">
        <f>119.73+3470.05</f>
        <v>3589.78</v>
      </c>
      <c r="I360" s="18">
        <f>69.14+1280.75+29075.8</f>
        <v>30425.69</v>
      </c>
      <c r="J360" s="18"/>
      <c r="K360" s="18">
        <v>178.36</v>
      </c>
      <c r="L360" s="19">
        <f>SUM(F360:K360)</f>
        <v>75944.259999999995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133071.76</v>
      </c>
      <c r="G362" s="47">
        <f t="shared" si="22"/>
        <v>47278.39</v>
      </c>
      <c r="H362" s="47">
        <f t="shared" si="22"/>
        <v>10526.9</v>
      </c>
      <c r="I362" s="47">
        <f t="shared" si="22"/>
        <v>145030.76</v>
      </c>
      <c r="J362" s="47">
        <f t="shared" si="22"/>
        <v>0</v>
      </c>
      <c r="K362" s="47">
        <f t="shared" si="22"/>
        <v>686</v>
      </c>
      <c r="L362" s="47">
        <f t="shared" si="22"/>
        <v>336593.81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108594.73</v>
      </c>
      <c r="G367" s="18"/>
      <c r="H367" s="18">
        <v>29075.8</v>
      </c>
      <c r="I367" s="56">
        <f>SUM(F367:H367)</f>
        <v>137670.53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6010.34</v>
      </c>
      <c r="G368" s="63"/>
      <c r="H368" s="63">
        <v>1349.89</v>
      </c>
      <c r="I368" s="56">
        <f>SUM(F368:H368)</f>
        <v>7360.2300000000005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114605.06999999999</v>
      </c>
      <c r="G369" s="47">
        <f>SUM(G367:G368)</f>
        <v>0</v>
      </c>
      <c r="H369" s="47">
        <f>SUM(H367:H368)</f>
        <v>30425.69</v>
      </c>
      <c r="I369" s="47">
        <f>SUM(I367:I368)</f>
        <v>145030.76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 t="s">
        <v>356</v>
      </c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1010.98</v>
      </c>
      <c r="I387" s="18"/>
      <c r="J387" s="24" t="s">
        <v>289</v>
      </c>
      <c r="K387" s="24" t="s">
        <v>289</v>
      </c>
      <c r="L387" s="56">
        <f t="shared" ref="L387:L392" si="25">SUM(F387:K387)</f>
        <v>1010.98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1010.98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1010.98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>
        <v>602.03</v>
      </c>
      <c r="I396" s="18"/>
      <c r="J396" s="24" t="s">
        <v>289</v>
      </c>
      <c r="K396" s="24" t="s">
        <v>289</v>
      </c>
      <c r="L396" s="56">
        <f t="shared" si="26"/>
        <v>100602.03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740.31</v>
      </c>
      <c r="I397" s="18"/>
      <c r="J397" s="24" t="s">
        <v>289</v>
      </c>
      <c r="K397" s="24" t="s">
        <v>289</v>
      </c>
      <c r="L397" s="56">
        <f t="shared" si="26"/>
        <v>740.31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50000</v>
      </c>
      <c r="H399" s="18">
        <v>252.36</v>
      </c>
      <c r="I399" s="18"/>
      <c r="J399" s="24" t="s">
        <v>289</v>
      </c>
      <c r="K399" s="24" t="s">
        <v>289</v>
      </c>
      <c r="L399" s="56">
        <f t="shared" si="26"/>
        <v>50252.36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62.79</v>
      </c>
      <c r="I400" s="18"/>
      <c r="J400" s="24" t="s">
        <v>289</v>
      </c>
      <c r="K400" s="24" t="s">
        <v>289</v>
      </c>
      <c r="L400" s="56">
        <f t="shared" si="26"/>
        <v>62.79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150000</v>
      </c>
      <c r="H401" s="47">
        <f>SUM(H395:H400)</f>
        <v>1657.4899999999998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151657.49000000002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150000</v>
      </c>
      <c r="H408" s="47">
        <f>H393+H401+H407</f>
        <v>2668.47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152668.47000000003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>
        <v>552205.39</v>
      </c>
      <c r="L414" s="56">
        <f t="shared" si="27"/>
        <v>552205.39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552205.39</v>
      </c>
      <c r="L419" s="47">
        <f t="shared" si="28"/>
        <v>552205.39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>
        <v>32273</v>
      </c>
      <c r="L425" s="56">
        <f t="shared" si="29"/>
        <v>32273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32273</v>
      </c>
      <c r="L427" s="47">
        <f t="shared" si="30"/>
        <v>32273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584478.39</v>
      </c>
      <c r="L434" s="47">
        <f t="shared" si="32"/>
        <v>584478.39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74999.820000000007</v>
      </c>
      <c r="G439" s="18">
        <v>722586.08</v>
      </c>
      <c r="H439" s="18"/>
      <c r="I439" s="56">
        <f t="shared" ref="I439:I445" si="33">SUM(F439:H439)</f>
        <v>797585.89999999991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74999.820000000007</v>
      </c>
      <c r="G446" s="13">
        <f>SUM(G439:G445)</f>
        <v>722586.08</v>
      </c>
      <c r="H446" s="13">
        <f>SUM(H439:H445)</f>
        <v>0</v>
      </c>
      <c r="I446" s="13">
        <f>SUM(I439:I445)</f>
        <v>797585.89999999991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74999.820000000007</v>
      </c>
      <c r="G459" s="18">
        <v>722586.08</v>
      </c>
      <c r="H459" s="18"/>
      <c r="I459" s="56">
        <f t="shared" si="34"/>
        <v>797585.89999999991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74999.820000000007</v>
      </c>
      <c r="G460" s="83">
        <f>SUM(G454:G459)</f>
        <v>722586.08</v>
      </c>
      <c r="H460" s="83">
        <f>SUM(H454:H459)</f>
        <v>0</v>
      </c>
      <c r="I460" s="83">
        <f>SUM(I454:I459)</f>
        <v>797585.89999999991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74999.820000000007</v>
      </c>
      <c r="G461" s="42">
        <f>G452+G460</f>
        <v>722586.08</v>
      </c>
      <c r="H461" s="42">
        <f>H452+H460</f>
        <v>0</v>
      </c>
      <c r="I461" s="42">
        <f>I452+I460</f>
        <v>797585.89999999991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643536.24</v>
      </c>
      <c r="G465" s="18">
        <v>16373.17</v>
      </c>
      <c r="H465" s="18">
        <v>17694.62</v>
      </c>
      <c r="I465" s="18"/>
      <c r="J465" s="18">
        <v>1229395.82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16460263.460000001</v>
      </c>
      <c r="G468" s="18">
        <v>340018.7</v>
      </c>
      <c r="H468" s="18">
        <f>494206.95+13904.19</f>
        <v>508111.14</v>
      </c>
      <c r="I468" s="18"/>
      <c r="J468" s="18">
        <v>152668.47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16460263.460000001</v>
      </c>
      <c r="G470" s="53">
        <f>SUM(G468:G469)</f>
        <v>340018.7</v>
      </c>
      <c r="H470" s="53">
        <f>SUM(H468:H469)</f>
        <v>508111.14</v>
      </c>
      <c r="I470" s="53">
        <f>SUM(I468:I469)</f>
        <v>0</v>
      </c>
      <c r="J470" s="53">
        <f>SUM(J468:J469)</f>
        <v>152668.47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16602530.77</v>
      </c>
      <c r="G472" s="18">
        <v>336593.81</v>
      </c>
      <c r="H472" s="18">
        <f>494206.95+14826.07</f>
        <v>509033.02</v>
      </c>
      <c r="I472" s="18"/>
      <c r="J472" s="18">
        <v>584478.39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16602530.77</v>
      </c>
      <c r="G474" s="53">
        <f>SUM(G472:G473)</f>
        <v>336593.81</v>
      </c>
      <c r="H474" s="53">
        <f>SUM(H472:H473)</f>
        <v>509033.02</v>
      </c>
      <c r="I474" s="53">
        <f>SUM(I472:I473)</f>
        <v>0</v>
      </c>
      <c r="J474" s="53">
        <f>SUM(J472:J473)</f>
        <v>584478.39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501268.9299999997</v>
      </c>
      <c r="G476" s="53">
        <f>(G465+G470)- G474</f>
        <v>19798.059999999998</v>
      </c>
      <c r="H476" s="53">
        <f>(H465+H470)- H474</f>
        <v>16772.739999999991</v>
      </c>
      <c r="I476" s="53">
        <f>(I465+I470)- I474</f>
        <v>0</v>
      </c>
      <c r="J476" s="53">
        <f>(J465+J470)- J474</f>
        <v>797585.9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1548516.07</v>
      </c>
      <c r="G521" s="18">
        <v>628299.07999999996</v>
      </c>
      <c r="H521" s="18">
        <v>764627.44</v>
      </c>
      <c r="I521" s="18">
        <v>13841.77</v>
      </c>
      <c r="J521" s="18">
        <v>17481.7</v>
      </c>
      <c r="K521" s="18"/>
      <c r="L521" s="88">
        <f>SUM(F521:K521)</f>
        <v>2972766.06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557831.52</v>
      </c>
      <c r="G523" s="18">
        <v>202607.93000000002</v>
      </c>
      <c r="H523" s="18">
        <v>263377.40999999997</v>
      </c>
      <c r="I523" s="18">
        <v>3769.78</v>
      </c>
      <c r="J523" s="18">
        <v>2427.2199999999998</v>
      </c>
      <c r="K523" s="18"/>
      <c r="L523" s="88">
        <f>SUM(F523:K523)</f>
        <v>1030013.8600000001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2106347.59</v>
      </c>
      <c r="G524" s="108">
        <f t="shared" ref="G524:L524" si="36">SUM(G521:G523)</f>
        <v>830907.01</v>
      </c>
      <c r="H524" s="108">
        <f t="shared" si="36"/>
        <v>1028004.8499999999</v>
      </c>
      <c r="I524" s="108">
        <f t="shared" si="36"/>
        <v>17611.55</v>
      </c>
      <c r="J524" s="108">
        <f t="shared" si="36"/>
        <v>19908.920000000002</v>
      </c>
      <c r="K524" s="108">
        <f t="shared" si="36"/>
        <v>0</v>
      </c>
      <c r="L524" s="89">
        <f t="shared" si="36"/>
        <v>4002779.92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424832.04</v>
      </c>
      <c r="G526" s="18">
        <v>186273.85</v>
      </c>
      <c r="H526" s="18">
        <v>1590.97</v>
      </c>
      <c r="I526" s="18">
        <v>3753.49</v>
      </c>
      <c r="J526" s="18">
        <v>327.9</v>
      </c>
      <c r="K526" s="18"/>
      <c r="L526" s="88">
        <f>SUM(F526:K526)</f>
        <v>616778.25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144174.01</v>
      </c>
      <c r="G528" s="18">
        <v>50755.97</v>
      </c>
      <c r="H528" s="18">
        <v>4419.5</v>
      </c>
      <c r="I528" s="18">
        <v>2931.63</v>
      </c>
      <c r="J528" s="18"/>
      <c r="K528" s="18">
        <v>165.75</v>
      </c>
      <c r="L528" s="88">
        <f>SUM(F528:K528)</f>
        <v>202446.86000000002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569006.05000000005</v>
      </c>
      <c r="G529" s="89">
        <f t="shared" ref="G529:L529" si="37">SUM(G526:G528)</f>
        <v>237029.82</v>
      </c>
      <c r="H529" s="89">
        <f t="shared" si="37"/>
        <v>6010.47</v>
      </c>
      <c r="I529" s="89">
        <f t="shared" si="37"/>
        <v>6685.12</v>
      </c>
      <c r="J529" s="89">
        <f t="shared" si="37"/>
        <v>327.9</v>
      </c>
      <c r="K529" s="89">
        <f t="shared" si="37"/>
        <v>165.75</v>
      </c>
      <c r="L529" s="89">
        <f t="shared" si="37"/>
        <v>819225.11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94645.5</v>
      </c>
      <c r="G531" s="18"/>
      <c r="H531" s="18">
        <v>5212.33</v>
      </c>
      <c r="I531" s="18">
        <v>735.31</v>
      </c>
      <c r="J531" s="18"/>
      <c r="K531" s="18">
        <v>1790.91</v>
      </c>
      <c r="L531" s="88">
        <f>SUM(F531:K531)</f>
        <v>102384.05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31548.5</v>
      </c>
      <c r="G533" s="18"/>
      <c r="H533" s="18">
        <v>1737.44</v>
      </c>
      <c r="I533" s="18">
        <v>245.1</v>
      </c>
      <c r="J533" s="18"/>
      <c r="K533" s="18">
        <v>596.97</v>
      </c>
      <c r="L533" s="88">
        <f>SUM(F533:K533)</f>
        <v>34128.01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126194</v>
      </c>
      <c r="G534" s="89">
        <f t="shared" ref="G534:L534" si="38">SUM(G531:G533)</f>
        <v>0</v>
      </c>
      <c r="H534" s="89">
        <f t="shared" si="38"/>
        <v>6949.77</v>
      </c>
      <c r="I534" s="89">
        <f t="shared" si="38"/>
        <v>980.41</v>
      </c>
      <c r="J534" s="89">
        <f t="shared" si="38"/>
        <v>0</v>
      </c>
      <c r="K534" s="89">
        <f t="shared" si="38"/>
        <v>2387.88</v>
      </c>
      <c r="L534" s="89">
        <f t="shared" si="38"/>
        <v>136512.06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181723</v>
      </c>
      <c r="I541" s="18"/>
      <c r="J541" s="18"/>
      <c r="K541" s="18"/>
      <c r="L541" s="88">
        <f>SUM(F541:K541)</f>
        <v>181723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60045</v>
      </c>
      <c r="I542" s="18"/>
      <c r="J542" s="18"/>
      <c r="K542" s="18"/>
      <c r="L542" s="88">
        <f>SUM(F542:K542)</f>
        <v>60045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241768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241768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2801547.6399999997</v>
      </c>
      <c r="G545" s="89">
        <f t="shared" ref="G545:L545" si="41">G524+G529+G534+G539+G544</f>
        <v>1067936.83</v>
      </c>
      <c r="H545" s="89">
        <f t="shared" si="41"/>
        <v>1282733.0899999999</v>
      </c>
      <c r="I545" s="89">
        <f t="shared" si="41"/>
        <v>25277.079999999998</v>
      </c>
      <c r="J545" s="89">
        <f t="shared" si="41"/>
        <v>20236.820000000003</v>
      </c>
      <c r="K545" s="89">
        <f t="shared" si="41"/>
        <v>2553.63</v>
      </c>
      <c r="L545" s="89">
        <f t="shared" si="41"/>
        <v>5200285.09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2972766.06</v>
      </c>
      <c r="G549" s="87">
        <f>L526</f>
        <v>616778.25</v>
      </c>
      <c r="H549" s="87">
        <f>L531</f>
        <v>102384.05</v>
      </c>
      <c r="I549" s="87">
        <f>L536</f>
        <v>0</v>
      </c>
      <c r="J549" s="87">
        <f>L541</f>
        <v>181723</v>
      </c>
      <c r="K549" s="87">
        <f>SUM(F549:J549)</f>
        <v>3873651.36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60045</v>
      </c>
      <c r="K550" s="87">
        <f>SUM(F550:J550)</f>
        <v>60045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1030013.8600000001</v>
      </c>
      <c r="G551" s="87">
        <f>L528</f>
        <v>202446.86000000002</v>
      </c>
      <c r="H551" s="87">
        <f>L533</f>
        <v>34128.01</v>
      </c>
      <c r="I551" s="87">
        <f>L538</f>
        <v>0</v>
      </c>
      <c r="J551" s="87">
        <f>L543</f>
        <v>0</v>
      </c>
      <c r="K551" s="87">
        <f>SUM(F551:J551)</f>
        <v>1266588.7300000002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4002779.92</v>
      </c>
      <c r="G552" s="89">
        <f t="shared" si="42"/>
        <v>819225.11</v>
      </c>
      <c r="H552" s="89">
        <f t="shared" si="42"/>
        <v>136512.06</v>
      </c>
      <c r="I552" s="89">
        <f t="shared" si="42"/>
        <v>0</v>
      </c>
      <c r="J552" s="89">
        <f t="shared" si="42"/>
        <v>241768</v>
      </c>
      <c r="K552" s="89">
        <f t="shared" si="42"/>
        <v>5200285.09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42639.42</v>
      </c>
      <c r="G576" s="18"/>
      <c r="H576" s="18"/>
      <c r="I576" s="87">
        <f t="shared" ref="I576:I587" si="47">SUM(F576:H576)</f>
        <v>42639.42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323532.74</v>
      </c>
      <c r="G582" s="18"/>
      <c r="H582" s="18">
        <v>250511.95</v>
      </c>
      <c r="I582" s="87">
        <f t="shared" si="47"/>
        <v>574044.68999999994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164063.01999999999</v>
      </c>
      <c r="I584" s="87">
        <f t="shared" si="47"/>
        <v>164063.01999999999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172175.08</v>
      </c>
      <c r="I591" s="18"/>
      <c r="J591" s="18">
        <v>60840.17</v>
      </c>
      <c r="K591" s="104">
        <f t="shared" ref="K591:K597" si="48">SUM(H591:J591)</f>
        <v>233015.25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181722.6</v>
      </c>
      <c r="I592" s="18"/>
      <c r="J592" s="18">
        <v>60045.39</v>
      </c>
      <c r="K592" s="104">
        <f t="shared" si="48"/>
        <v>241767.99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41309.18</v>
      </c>
      <c r="K593" s="104">
        <f t="shared" si="48"/>
        <v>41309.18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4588.3599999999997</v>
      </c>
      <c r="I594" s="18"/>
      <c r="J594" s="18">
        <v>28326.55</v>
      </c>
      <c r="K594" s="104">
        <f t="shared" si="48"/>
        <v>32914.909999999996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7743.24</v>
      </c>
      <c r="I595" s="18"/>
      <c r="J595" s="18">
        <v>7020.48</v>
      </c>
      <c r="K595" s="104">
        <f t="shared" si="48"/>
        <v>14763.72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366229.27999999997</v>
      </c>
      <c r="I598" s="108">
        <f>SUM(I591:I597)</f>
        <v>0</v>
      </c>
      <c r="J598" s="108">
        <f>SUM(J591:J597)</f>
        <v>197541.77</v>
      </c>
      <c r="K598" s="108">
        <f>SUM(K591:K597)</f>
        <v>563771.04999999993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136385.91</v>
      </c>
      <c r="I604" s="18"/>
      <c r="J604" s="18">
        <v>56939.03</v>
      </c>
      <c r="K604" s="104">
        <f>SUM(H604:J604)</f>
        <v>193324.94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136385.91</v>
      </c>
      <c r="I605" s="108">
        <f>SUM(I602:I604)</f>
        <v>0</v>
      </c>
      <c r="J605" s="108">
        <f>SUM(J602:J604)</f>
        <v>56939.03</v>
      </c>
      <c r="K605" s="108">
        <f>SUM(K602:K604)</f>
        <v>193324.94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1177439.5</v>
      </c>
      <c r="H617" s="109">
        <f>SUM(F52)</f>
        <v>1177439.5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12158.82</v>
      </c>
      <c r="H618" s="109">
        <f>SUM(G52)</f>
        <v>12158.820000000002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115258.77</v>
      </c>
      <c r="H619" s="109">
        <f>SUM(H52)</f>
        <v>115258.77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797585.89999999991</v>
      </c>
      <c r="H621" s="109">
        <f>SUM(J52)</f>
        <v>797585.89999999991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501268.93</v>
      </c>
      <c r="H622" s="109">
        <f>F476</f>
        <v>501268.9299999997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19798.060000000001</v>
      </c>
      <c r="H623" s="109">
        <f>G476</f>
        <v>19798.059999999998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16772.740000000002</v>
      </c>
      <c r="H624" s="109">
        <f>H476</f>
        <v>16772.739999999991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797585.89999999991</v>
      </c>
      <c r="H626" s="109">
        <f>J476</f>
        <v>797585.9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16460263.459999997</v>
      </c>
      <c r="H627" s="104">
        <f>SUM(F468)</f>
        <v>16460263.460000001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340018.7</v>
      </c>
      <c r="H628" s="104">
        <f>SUM(G468)</f>
        <v>340018.7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508111.13999999996</v>
      </c>
      <c r="H629" s="104">
        <f>SUM(H468)</f>
        <v>508111.14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152668.47</v>
      </c>
      <c r="H631" s="104">
        <f>SUM(J468)</f>
        <v>152668.47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16602530.769999998</v>
      </c>
      <c r="H632" s="104">
        <f>SUM(F472)</f>
        <v>16602530.77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509033.01999999996</v>
      </c>
      <c r="H633" s="104">
        <f>SUM(H472)</f>
        <v>509033.02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145030.76</v>
      </c>
      <c r="H634" s="104">
        <f>I369</f>
        <v>145030.76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336593.81</v>
      </c>
      <c r="H635" s="104">
        <f>SUM(G472)</f>
        <v>336593.81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152668.47000000003</v>
      </c>
      <c r="H637" s="164">
        <f>SUM(J468)</f>
        <v>152668.47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584478.39</v>
      </c>
      <c r="H638" s="164">
        <f>SUM(J472)</f>
        <v>584478.39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74999.820000000007</v>
      </c>
      <c r="H639" s="104">
        <f>SUM(F461)</f>
        <v>74999.820000000007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722586.08</v>
      </c>
      <c r="H640" s="104">
        <f>SUM(G461)</f>
        <v>722586.08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797585.89999999991</v>
      </c>
      <c r="H642" s="104">
        <f>SUM(I461)</f>
        <v>797585.89999999991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2668.47</v>
      </c>
      <c r="H644" s="104">
        <f>H408</f>
        <v>2668.47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150000</v>
      </c>
      <c r="H645" s="104">
        <f>G408</f>
        <v>150000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152668.47</v>
      </c>
      <c r="H646" s="104">
        <f>L408</f>
        <v>152668.47000000003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563771.04999999993</v>
      </c>
      <c r="H647" s="104">
        <f>L208+L226+L244</f>
        <v>563771.05000000005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193324.94</v>
      </c>
      <c r="H648" s="104">
        <f>(J257+J338)-(J255+J336)</f>
        <v>193324.94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366229.28</v>
      </c>
      <c r="H649" s="104">
        <f>H598</f>
        <v>366229.27999999997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197541.77</v>
      </c>
      <c r="H651" s="104">
        <f>J598</f>
        <v>197541.77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856.06</v>
      </c>
      <c r="H652" s="104">
        <f>K263+K345</f>
        <v>856.06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150000</v>
      </c>
      <c r="H655" s="104">
        <f>K266+K347</f>
        <v>150000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11856231.159999998</v>
      </c>
      <c r="G660" s="19">
        <f>(L229+L309+L359)</f>
        <v>0</v>
      </c>
      <c r="H660" s="19">
        <f>(L247+L328+L360)</f>
        <v>4829462.9899999993</v>
      </c>
      <c r="I660" s="19">
        <f>SUM(F660:H660)</f>
        <v>16685694.149999999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136287.2663359525</v>
      </c>
      <c r="G661" s="19">
        <f>(L359/IF(SUM(L358:L360)=0,1,SUM(L358:L360))*(SUM(G97:G110)))</f>
        <v>0</v>
      </c>
      <c r="H661" s="19">
        <f>(L360/IF(SUM(L358:L360)=0,1,SUM(L358:L360))*(SUM(G97:G110)))</f>
        <v>39709.393664047464</v>
      </c>
      <c r="I661" s="19">
        <f>SUM(F661:H661)</f>
        <v>175996.65999999997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366229.28</v>
      </c>
      <c r="G662" s="19">
        <f>(L226+L306)-(J226+J306)</f>
        <v>0</v>
      </c>
      <c r="H662" s="19">
        <f>(L244+L325)-(J244+J325)</f>
        <v>198436.77</v>
      </c>
      <c r="I662" s="19">
        <f>SUM(F662:H662)</f>
        <v>564666.05000000005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502558.06999999995</v>
      </c>
      <c r="G663" s="199">
        <f>SUM(G575:G587)+SUM(I602:I604)+L612</f>
        <v>0</v>
      </c>
      <c r="H663" s="199">
        <f>SUM(H575:H587)+SUM(J602:J604)+L613</f>
        <v>471514</v>
      </c>
      <c r="I663" s="19">
        <f>SUM(F663:H663)</f>
        <v>974072.07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10851156.543664046</v>
      </c>
      <c r="G664" s="19">
        <f>G660-SUM(G661:G663)</f>
        <v>0</v>
      </c>
      <c r="H664" s="19">
        <f>H660-SUM(H661:H663)</f>
        <v>4119802.8263359517</v>
      </c>
      <c r="I664" s="19">
        <f>I660-SUM(I661:I663)</f>
        <v>14970959.369999999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753.1</v>
      </c>
      <c r="G665" s="248"/>
      <c r="H665" s="248">
        <v>257.94</v>
      </c>
      <c r="I665" s="19">
        <f>SUM(F665:H665)</f>
        <v>1011.04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14408.65</v>
      </c>
      <c r="G667" s="19" t="e">
        <f>ROUND(G664/G665,2)</f>
        <v>#DIV/0!</v>
      </c>
      <c r="H667" s="19">
        <f>ROUND(H664/H665,2)</f>
        <v>15971.94</v>
      </c>
      <c r="I667" s="19">
        <f>ROUND(I664/I665,2)</f>
        <v>14807.48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-22.56</v>
      </c>
      <c r="I670" s="19">
        <f>SUM(F670:H670)</f>
        <v>-22.56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14408.65</v>
      </c>
      <c r="G672" s="19" t="e">
        <f>ROUND((G664+G669)/(G665+G670),2)</f>
        <v>#DIV/0!</v>
      </c>
      <c r="H672" s="19">
        <f>ROUND((H664+H669)/(H665+H670),2)</f>
        <v>17502.77</v>
      </c>
      <c r="I672" s="19">
        <f>ROUND((I664+I669)/(I665+I670),2)</f>
        <v>15145.43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K55" sqref="K5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Newmarket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4112935.3600000003</v>
      </c>
      <c r="C9" s="229">
        <f>'DOE25'!G197+'DOE25'!G215+'DOE25'!G233+'DOE25'!G276+'DOE25'!G295+'DOE25'!G314</f>
        <v>1924541.23</v>
      </c>
    </row>
    <row r="10" spans="1:3" x14ac:dyDescent="0.2">
      <c r="A10" t="s">
        <v>779</v>
      </c>
      <c r="B10" s="240">
        <v>3955916.46</v>
      </c>
      <c r="C10" s="240">
        <v>1907418.51</v>
      </c>
    </row>
    <row r="11" spans="1:3" x14ac:dyDescent="0.2">
      <c r="A11" t="s">
        <v>780</v>
      </c>
      <c r="B11" s="240">
        <v>105385.7</v>
      </c>
      <c r="C11" s="240">
        <v>12579.51</v>
      </c>
    </row>
    <row r="12" spans="1:3" x14ac:dyDescent="0.2">
      <c r="A12" t="s">
        <v>781</v>
      </c>
      <c r="B12" s="240">
        <v>51633.2</v>
      </c>
      <c r="C12" s="240">
        <v>4543.21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4112935.3600000003</v>
      </c>
      <c r="C13" s="231">
        <f>SUM(C10:C12)</f>
        <v>1924541.23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2106347.59</v>
      </c>
      <c r="C18" s="229">
        <f>'DOE25'!G198+'DOE25'!G216+'DOE25'!G234+'DOE25'!G277+'DOE25'!G296+'DOE25'!G315</f>
        <v>830907.01</v>
      </c>
    </row>
    <row r="19" spans="1:3" x14ac:dyDescent="0.2">
      <c r="A19" t="s">
        <v>779</v>
      </c>
      <c r="B19" s="240">
        <v>1191938.32</v>
      </c>
      <c r="C19" s="240">
        <v>519369.68</v>
      </c>
    </row>
    <row r="20" spans="1:3" x14ac:dyDescent="0.2">
      <c r="A20" t="s">
        <v>780</v>
      </c>
      <c r="B20" s="240">
        <v>885392</v>
      </c>
      <c r="C20" s="240">
        <v>307790.31</v>
      </c>
    </row>
    <row r="21" spans="1:3" x14ac:dyDescent="0.2">
      <c r="A21" t="s">
        <v>781</v>
      </c>
      <c r="B21" s="240">
        <v>29017.27</v>
      </c>
      <c r="C21" s="240">
        <v>3747.02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2106347.59</v>
      </c>
      <c r="C22" s="231">
        <f>SUM(C19:C21)</f>
        <v>830907.01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371846.87</v>
      </c>
      <c r="C36" s="235">
        <f>'DOE25'!G200+'DOE25'!G218+'DOE25'!G236+'DOE25'!G279+'DOE25'!G298+'DOE25'!G317</f>
        <v>154426.66</v>
      </c>
    </row>
    <row r="37" spans="1:3" x14ac:dyDescent="0.2">
      <c r="A37" t="s">
        <v>779</v>
      </c>
      <c r="B37" s="240">
        <v>130594.64</v>
      </c>
      <c r="C37" s="240">
        <v>117493.57</v>
      </c>
    </row>
    <row r="38" spans="1:3" x14ac:dyDescent="0.2">
      <c r="A38" t="s">
        <v>780</v>
      </c>
      <c r="B38" s="240">
        <v>158516.12</v>
      </c>
      <c r="C38" s="240">
        <v>18808.13</v>
      </c>
    </row>
    <row r="39" spans="1:3" x14ac:dyDescent="0.2">
      <c r="A39" t="s">
        <v>781</v>
      </c>
      <c r="B39" s="240">
        <v>82736.11</v>
      </c>
      <c r="C39" s="240">
        <v>18124.96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371846.87</v>
      </c>
      <c r="C40" s="231">
        <f>SUM(C37:C39)</f>
        <v>154426.66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63" sqref="B6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Newmarket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10565974.84</v>
      </c>
      <c r="D5" s="20">
        <f>SUM('DOE25'!L197:L200)+SUM('DOE25'!L215:L218)+SUM('DOE25'!L233:L236)-F5-G5</f>
        <v>10469032.319999998</v>
      </c>
      <c r="E5" s="243"/>
      <c r="F5" s="255">
        <f>SUM('DOE25'!J197:J200)+SUM('DOE25'!J215:J218)+SUM('DOE25'!J233:J236)</f>
        <v>70861.22</v>
      </c>
      <c r="G5" s="53">
        <f>SUM('DOE25'!K197:K200)+SUM('DOE25'!K215:K218)+SUM('DOE25'!K233:K236)</f>
        <v>26081.3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1095361.2299999997</v>
      </c>
      <c r="D6" s="20">
        <f>'DOE25'!L202+'DOE25'!L220+'DOE25'!L238-F6-G6</f>
        <v>1094073.2299999997</v>
      </c>
      <c r="E6" s="243"/>
      <c r="F6" s="255">
        <f>'DOE25'!J202+'DOE25'!J220+'DOE25'!J238</f>
        <v>1093</v>
      </c>
      <c r="G6" s="53">
        <f>'DOE25'!K202+'DOE25'!K220+'DOE25'!K238</f>
        <v>195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772913.36</v>
      </c>
      <c r="D7" s="20">
        <f>'DOE25'!L203+'DOE25'!L221+'DOE25'!L239-F7-G7</f>
        <v>671765.53999999992</v>
      </c>
      <c r="E7" s="243"/>
      <c r="F7" s="255">
        <f>'DOE25'!J203+'DOE25'!J221+'DOE25'!J239</f>
        <v>99216.02</v>
      </c>
      <c r="G7" s="53">
        <f>'DOE25'!K203+'DOE25'!K221+'DOE25'!K239</f>
        <v>1931.8</v>
      </c>
      <c r="H7" s="259"/>
    </row>
    <row r="8" spans="1:9" x14ac:dyDescent="0.2">
      <c r="A8" s="32">
        <v>2300</v>
      </c>
      <c r="B8" t="s">
        <v>802</v>
      </c>
      <c r="C8" s="245">
        <f t="shared" si="0"/>
        <v>217062.55999999997</v>
      </c>
      <c r="D8" s="243"/>
      <c r="E8" s="20">
        <f>'DOE25'!L204+'DOE25'!L222+'DOE25'!L240-F8-G8-D9-D11</f>
        <v>115022.10999999999</v>
      </c>
      <c r="F8" s="255">
        <f>'DOE25'!J204+'DOE25'!J222+'DOE25'!J240</f>
        <v>1124.97</v>
      </c>
      <c r="G8" s="53">
        <f>'DOE25'!K204+'DOE25'!K222+'DOE25'!K240</f>
        <v>100915.47999999998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234732.82</v>
      </c>
      <c r="D9" s="244">
        <v>234732.82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16377.5</v>
      </c>
      <c r="D10" s="243"/>
      <c r="E10" s="244">
        <v>16377.5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305592.45</v>
      </c>
      <c r="D11" s="244">
        <v>305592.45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796413.34</v>
      </c>
      <c r="D12" s="20">
        <f>'DOE25'!L205+'DOE25'!L223+'DOE25'!L241-F12-G12</f>
        <v>780137.08</v>
      </c>
      <c r="E12" s="243"/>
      <c r="F12" s="255">
        <f>'DOE25'!J205+'DOE25'!J223+'DOE25'!J241</f>
        <v>432.73</v>
      </c>
      <c r="G12" s="53">
        <f>'DOE25'!K205+'DOE25'!K223+'DOE25'!K241</f>
        <v>15843.53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266434.12</v>
      </c>
      <c r="D13" s="243"/>
      <c r="E13" s="20">
        <f>'DOE25'!L206+'DOE25'!L224+'DOE25'!L242-F13-G13</f>
        <v>266434.12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1020418.9399999998</v>
      </c>
      <c r="D14" s="20">
        <f>'DOE25'!L207+'DOE25'!L225+'DOE25'!L243-F14-G14</f>
        <v>1011278.6499999998</v>
      </c>
      <c r="E14" s="243"/>
      <c r="F14" s="255">
        <f>'DOE25'!J207+'DOE25'!J225+'DOE25'!J243</f>
        <v>9140.2900000000009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563771.05000000005</v>
      </c>
      <c r="D15" s="20">
        <f>'DOE25'!L208+'DOE25'!L226+'DOE25'!L244-F15-G15</f>
        <v>563771.05000000005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1392.6100000000001</v>
      </c>
      <c r="D16" s="243"/>
      <c r="E16" s="20">
        <f>'DOE25'!L209+'DOE25'!L227+'DOE25'!L245-F16-G16</f>
        <v>1392.6100000000001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611607.39</v>
      </c>
      <c r="D22" s="243"/>
      <c r="E22" s="243"/>
      <c r="F22" s="255">
        <f>'DOE25'!L255+'DOE25'!L336</f>
        <v>611607.39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198923.28</v>
      </c>
      <c r="D29" s="20">
        <f>'DOE25'!L358+'DOE25'!L359+'DOE25'!L360-'DOE25'!I367-F29-G29</f>
        <v>198237.28</v>
      </c>
      <c r="E29" s="243"/>
      <c r="F29" s="255">
        <f>'DOE25'!J358+'DOE25'!J359+'DOE25'!J360</f>
        <v>0</v>
      </c>
      <c r="G29" s="53">
        <f>'DOE25'!K358+'DOE25'!K359+'DOE25'!K360</f>
        <v>686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509033.01999999996</v>
      </c>
      <c r="D31" s="20">
        <f>'DOE25'!L290+'DOE25'!L309+'DOE25'!L328+'DOE25'!L333+'DOE25'!L334+'DOE25'!L335-F31-G31</f>
        <v>496476.30999999994</v>
      </c>
      <c r="E31" s="243"/>
      <c r="F31" s="255">
        <f>'DOE25'!J290+'DOE25'!J309+'DOE25'!J328+'DOE25'!J333+'DOE25'!J334+'DOE25'!J335</f>
        <v>11456.710000000001</v>
      </c>
      <c r="G31" s="53">
        <f>'DOE25'!K290+'DOE25'!K309+'DOE25'!K328+'DOE25'!K333+'DOE25'!K334+'DOE25'!K335</f>
        <v>1100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15825096.729999999</v>
      </c>
      <c r="E33" s="246">
        <f>SUM(E5:E31)</f>
        <v>399226.33999999997</v>
      </c>
      <c r="F33" s="246">
        <f>SUM(F5:F31)</f>
        <v>804932.33</v>
      </c>
      <c r="G33" s="246">
        <f>SUM(G5:G31)</f>
        <v>146753.10999999999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399226.33999999997</v>
      </c>
      <c r="E35" s="249"/>
    </row>
    <row r="36" spans="2:8" ht="12" thickTop="1" x14ac:dyDescent="0.2">
      <c r="B36" t="s">
        <v>815</v>
      </c>
      <c r="D36" s="20">
        <f>D33</f>
        <v>15825096.729999999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Newmarket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1045615.84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797585.89999999991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11818.17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111445.16</v>
      </c>
      <c r="D13" s="95">
        <f>'DOE25'!G14</f>
        <v>0</v>
      </c>
      <c r="E13" s="95">
        <f>'DOE25'!H14</f>
        <v>115258.77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4912.4399999999996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20378.5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-4571.79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1177439.5</v>
      </c>
      <c r="D18" s="41">
        <f>SUM(D8:D17)</f>
        <v>12158.82</v>
      </c>
      <c r="E18" s="41">
        <f>SUM(E8:E17)</f>
        <v>115258.77</v>
      </c>
      <c r="F18" s="41">
        <f>SUM(F8:F17)</f>
        <v>0</v>
      </c>
      <c r="G18" s="41">
        <f>SUM(G8:G17)</f>
        <v>797585.89999999991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74074.05</v>
      </c>
      <c r="D21" s="95">
        <f>'DOE25'!G22</f>
        <v>-7639.24</v>
      </c>
      <c r="E21" s="95">
        <f>'DOE25'!H22</f>
        <v>98486.03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-420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602516.52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676170.57000000007</v>
      </c>
      <c r="D31" s="41">
        <f>SUM(D21:D30)</f>
        <v>-7639.24</v>
      </c>
      <c r="E31" s="41">
        <f>SUM(E21:E30)</f>
        <v>98486.03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797585.89999999991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19798.060000000001</v>
      </c>
      <c r="E48" s="95">
        <f>'DOE25'!H49</f>
        <v>16772.740000000002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351268.93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501268.93</v>
      </c>
      <c r="D50" s="41">
        <f>SUM(D34:D49)</f>
        <v>19798.060000000001</v>
      </c>
      <c r="E50" s="41">
        <f>SUM(E34:E49)</f>
        <v>16772.740000000002</v>
      </c>
      <c r="F50" s="41">
        <f>SUM(F34:F49)</f>
        <v>0</v>
      </c>
      <c r="G50" s="41">
        <f>SUM(G34:G49)</f>
        <v>797585.89999999991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1177439.5</v>
      </c>
      <c r="D51" s="41">
        <f>D50+D31</f>
        <v>12158.820000000002</v>
      </c>
      <c r="E51" s="41">
        <f>E50+E31</f>
        <v>115258.77</v>
      </c>
      <c r="F51" s="41">
        <f>F50+F31</f>
        <v>0</v>
      </c>
      <c r="G51" s="41">
        <f>G50+G31</f>
        <v>797585.89999999991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11129910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25327.54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2130.1999999999998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2668.47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170196.8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94069.9</v>
      </c>
      <c r="D61" s="95">
        <f>SUM('DOE25'!G98:G110)</f>
        <v>5799.86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121527.64</v>
      </c>
      <c r="D62" s="130">
        <f>SUM(D57:D61)</f>
        <v>175996.65999999997</v>
      </c>
      <c r="E62" s="130">
        <f>SUM(E57:E61)</f>
        <v>0</v>
      </c>
      <c r="F62" s="130">
        <f>SUM(F57:F61)</f>
        <v>0</v>
      </c>
      <c r="G62" s="130">
        <f>SUM(G57:G61)</f>
        <v>2668.47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11251437.640000001</v>
      </c>
      <c r="D63" s="22">
        <f>D56+D62</f>
        <v>175996.65999999997</v>
      </c>
      <c r="E63" s="22">
        <f>E56+E62</f>
        <v>0</v>
      </c>
      <c r="F63" s="22">
        <f>F56+F62</f>
        <v>0</v>
      </c>
      <c r="G63" s="22">
        <f>G56+G62</f>
        <v>2668.47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2466886.52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1763428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6474.01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4236788.5299999993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70323.259999999995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14713.6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4782.93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85036.86</v>
      </c>
      <c r="D78" s="130">
        <f>SUM(D72:D77)</f>
        <v>4782.93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4321825.3899999997</v>
      </c>
      <c r="D81" s="130">
        <f>SUM(D79:D80)+D78+D70</f>
        <v>4782.93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17429.2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334795.03999999998</v>
      </c>
      <c r="D88" s="95">
        <f>SUM('DOE25'!G153:G161)</f>
        <v>140953.85</v>
      </c>
      <c r="E88" s="95">
        <f>SUM('DOE25'!H153:H161)</f>
        <v>494206.94999999995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13904.19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334795.03999999998</v>
      </c>
      <c r="D91" s="131">
        <f>SUM(D85:D90)</f>
        <v>158383.05000000002</v>
      </c>
      <c r="E91" s="131">
        <f>SUM(E85:E90)</f>
        <v>508111.13999999996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856.06</v>
      </c>
      <c r="E96" s="95">
        <f>'DOE25'!H179</f>
        <v>0</v>
      </c>
      <c r="F96" s="95">
        <f>'DOE25'!I179</f>
        <v>0</v>
      </c>
      <c r="G96" s="95">
        <f>'DOE25'!J179</f>
        <v>150000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552205.39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552205.39</v>
      </c>
      <c r="D103" s="86">
        <f>SUM(D93:D102)</f>
        <v>856.06</v>
      </c>
      <c r="E103" s="86">
        <f>SUM(E93:E102)</f>
        <v>0</v>
      </c>
      <c r="F103" s="86">
        <f>SUM(F93:F102)</f>
        <v>0</v>
      </c>
      <c r="G103" s="86">
        <f>SUM(G93:G102)</f>
        <v>150000</v>
      </c>
    </row>
    <row r="104" spans="1:7" ht="12.75" thickTop="1" thickBot="1" x14ac:dyDescent="0.25">
      <c r="A104" s="33" t="s">
        <v>765</v>
      </c>
      <c r="C104" s="86">
        <f>C63+C81+C91+C103</f>
        <v>16460263.460000001</v>
      </c>
      <c r="D104" s="86">
        <f>D63+D81+D91+D103</f>
        <v>340018.7</v>
      </c>
      <c r="E104" s="86">
        <f>E63+E81+E91+E103</f>
        <v>508111.13999999996</v>
      </c>
      <c r="F104" s="86">
        <f>F63+F81+F91+F103</f>
        <v>0</v>
      </c>
      <c r="G104" s="86">
        <f>G63+G81+G103</f>
        <v>152668.47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6068226.1799999997</v>
      </c>
      <c r="D109" s="24" t="s">
        <v>289</v>
      </c>
      <c r="E109" s="95">
        <f>('DOE25'!L276)+('DOE25'!L295)+('DOE25'!L314)</f>
        <v>169697.66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3739114.3199999994</v>
      </c>
      <c r="D110" s="24" t="s">
        <v>289</v>
      </c>
      <c r="E110" s="95">
        <f>('DOE25'!L277)+('DOE25'!L296)+('DOE25'!L315)</f>
        <v>263665.59999999998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164248.85999999999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594385.48</v>
      </c>
      <c r="D112" s="24" t="s">
        <v>289</v>
      </c>
      <c r="E112" s="95">
        <f>+('DOE25'!L279)+('DOE25'!L298)+('DOE25'!L317)</f>
        <v>246.66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10565974.84</v>
      </c>
      <c r="D115" s="86">
        <f>SUM(D109:D114)</f>
        <v>0</v>
      </c>
      <c r="E115" s="86">
        <f>SUM(E109:E114)</f>
        <v>433609.92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1095361.2299999997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772913.36</v>
      </c>
      <c r="D119" s="24" t="s">
        <v>289</v>
      </c>
      <c r="E119" s="95">
        <f>+('DOE25'!L282)+('DOE25'!L301)+('DOE25'!L320)</f>
        <v>74528.099999999991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757387.83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796413.34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266434.12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1020418.9399999998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563771.05000000005</v>
      </c>
      <c r="D124" s="24" t="s">
        <v>289</v>
      </c>
      <c r="E124" s="95">
        <f>+('DOE25'!L287)+('DOE25'!L306)+('DOE25'!L325)</f>
        <v>895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1392.6100000000001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336593.81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5274092.4799999995</v>
      </c>
      <c r="D128" s="86">
        <f>SUM(D118:D127)</f>
        <v>336593.81</v>
      </c>
      <c r="E128" s="86">
        <f>SUM(E118:E127)</f>
        <v>75423.099999999991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611607.39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584478.39</v>
      </c>
    </row>
    <row r="135" spans="1:7" x14ac:dyDescent="0.2">
      <c r="A135" t="s">
        <v>233</v>
      </c>
      <c r="B135" s="32" t="s">
        <v>234</v>
      </c>
      <c r="C135" s="95">
        <f>'DOE25'!L263</f>
        <v>856.06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1010.98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151657.49000000002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-2668.4700000000303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762463.45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584478.39</v>
      </c>
    </row>
    <row r="145" spans="1:9" ht="12.75" thickTop="1" thickBot="1" x14ac:dyDescent="0.25">
      <c r="A145" s="33" t="s">
        <v>244</v>
      </c>
      <c r="C145" s="86">
        <f>(C115+C128+C144)</f>
        <v>16602530.77</v>
      </c>
      <c r="D145" s="86">
        <f>(D115+D128+D144)</f>
        <v>336593.81</v>
      </c>
      <c r="E145" s="86">
        <f>(E115+E128+E144)</f>
        <v>509033.01999999996</v>
      </c>
      <c r="F145" s="86">
        <f>(F115+F128+F144)</f>
        <v>0</v>
      </c>
      <c r="G145" s="86">
        <f>(G115+G128+G144)</f>
        <v>584478.39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Newmarket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14409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17503</v>
      </c>
    </row>
    <row r="7" spans="1:4" x14ac:dyDescent="0.2">
      <c r="B7" t="s">
        <v>705</v>
      </c>
      <c r="C7" s="179">
        <f>IF('DOE25'!I665+'DOE25'!I670=0,0,ROUND('DOE25'!I672,0))</f>
        <v>15145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6237924</v>
      </c>
      <c r="D10" s="182">
        <f>ROUND((C10/$C$28)*100,1)</f>
        <v>37.799999999999997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4002780</v>
      </c>
      <c r="D11" s="182">
        <f>ROUND((C11/$C$28)*100,1)</f>
        <v>24.2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164249</v>
      </c>
      <c r="D12" s="182">
        <f>ROUND((C12/$C$28)*100,1)</f>
        <v>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594632</v>
      </c>
      <c r="D13" s="182">
        <f>ROUND((C13/$C$28)*100,1)</f>
        <v>3.6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1095361</v>
      </c>
      <c r="D15" s="182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847441</v>
      </c>
      <c r="D16" s="182">
        <f t="shared" si="0"/>
        <v>5.0999999999999996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758780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796413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266434</v>
      </c>
      <c r="D19" s="182">
        <f t="shared" si="0"/>
        <v>1.6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1020419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564666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160597.34000000003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16509696.34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611607</v>
      </c>
    </row>
    <row r="30" spans="1:4" x14ac:dyDescent="0.2">
      <c r="B30" s="187" t="s">
        <v>729</v>
      </c>
      <c r="C30" s="180">
        <f>SUM(C28:C29)</f>
        <v>17121303.34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11129910</v>
      </c>
      <c r="D35" s="182">
        <f t="shared" ref="D35:D40" si="1">ROUND((C35/$C$41)*100,1)</f>
        <v>67.099999999999994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124196.1099999994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4230315</v>
      </c>
      <c r="D37" s="182">
        <f t="shared" si="1"/>
        <v>25.5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96294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1001289</v>
      </c>
      <c r="D39" s="182">
        <f t="shared" si="1"/>
        <v>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16582004.109999999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Newmarket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2016-10-11T14:31:30Z</cp:lastPrinted>
  <dcterms:created xsi:type="dcterms:W3CDTF">1997-12-04T19:04:30Z</dcterms:created>
  <dcterms:modified xsi:type="dcterms:W3CDTF">2016-12-01T18:42:56Z</dcterms:modified>
</cp:coreProperties>
</file>