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325" windowHeight="87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Notes'!$A$1:$N$69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F465" i="1" l="1"/>
  <c r="F472" i="1"/>
  <c r="G472" i="1"/>
  <c r="H198" i="1"/>
  <c r="H197" i="1"/>
  <c r="F50" i="1" l="1"/>
  <c r="H604" i="1"/>
  <c r="J226" i="1"/>
  <c r="J244" i="1"/>
  <c r="J208" i="1"/>
  <c r="H521" i="1"/>
  <c r="G45" i="1" l="1"/>
  <c r="J358" i="1"/>
  <c r="H102" i="1"/>
  <c r="I358" i="1"/>
  <c r="H358" i="1"/>
  <c r="H360" i="1"/>
  <c r="H359" i="1"/>
  <c r="J96" i="1"/>
  <c r="J469" i="1"/>
  <c r="H392" i="1"/>
  <c r="H389" i="1"/>
  <c r="G110" i="1"/>
  <c r="G158" i="1"/>
  <c r="G132" i="1"/>
  <c r="F110" i="1"/>
  <c r="F459" i="1"/>
  <c r="F439" i="1"/>
  <c r="B10" i="12"/>
  <c r="B19" i="12"/>
  <c r="B37" i="12"/>
  <c r="B20" i="12"/>
  <c r="G14" i="1" l="1"/>
  <c r="H29" i="1"/>
  <c r="F29" i="1"/>
  <c r="F9" i="1"/>
  <c r="G613" i="1"/>
  <c r="G612" i="1"/>
  <c r="G611" i="1"/>
  <c r="F613" i="1"/>
  <c r="F612" i="1"/>
  <c r="F611" i="1"/>
  <c r="H584" i="1"/>
  <c r="H582" i="1"/>
  <c r="G582" i="1"/>
  <c r="F582" i="1"/>
  <c r="H579" i="1"/>
  <c r="G579" i="1"/>
  <c r="F579" i="1"/>
  <c r="I521" i="1"/>
  <c r="H523" i="1"/>
  <c r="H522" i="1"/>
  <c r="G521" i="1"/>
  <c r="F521" i="1"/>
  <c r="H568" i="1"/>
  <c r="H567" i="1"/>
  <c r="H569" i="1"/>
  <c r="G567" i="1"/>
  <c r="F567" i="1"/>
  <c r="J523" i="1"/>
  <c r="J522" i="1"/>
  <c r="J521" i="1"/>
  <c r="G523" i="1"/>
  <c r="G522" i="1"/>
  <c r="F523" i="1"/>
  <c r="F522" i="1"/>
  <c r="I543" i="1"/>
  <c r="H543" i="1"/>
  <c r="H542" i="1"/>
  <c r="H541" i="1"/>
  <c r="H533" i="1"/>
  <c r="H532" i="1"/>
  <c r="H531" i="1"/>
  <c r="H537" i="1"/>
  <c r="I528" i="1"/>
  <c r="I526" i="1"/>
  <c r="H526" i="1"/>
  <c r="H528" i="1"/>
  <c r="H527" i="1"/>
  <c r="G528" i="1"/>
  <c r="G527" i="1"/>
  <c r="G526" i="1"/>
  <c r="F528" i="1"/>
  <c r="F527" i="1"/>
  <c r="F526" i="1"/>
  <c r="I523" i="1"/>
  <c r="I522" i="1"/>
  <c r="F499" i="1"/>
  <c r="F498" i="1"/>
  <c r="H321" i="1" l="1"/>
  <c r="H320" i="1"/>
  <c r="I319" i="1"/>
  <c r="H319" i="1"/>
  <c r="K316" i="1"/>
  <c r="J316" i="1"/>
  <c r="I316" i="1"/>
  <c r="H316" i="1"/>
  <c r="G316" i="1"/>
  <c r="F316" i="1"/>
  <c r="J314" i="1"/>
  <c r="I314" i="1"/>
  <c r="H314" i="1"/>
  <c r="H301" i="1"/>
  <c r="H282" i="1"/>
  <c r="I244" i="1"/>
  <c r="H244" i="1"/>
  <c r="G244" i="1"/>
  <c r="I243" i="1"/>
  <c r="H243" i="1"/>
  <c r="G243" i="1"/>
  <c r="F243" i="1"/>
  <c r="J241" i="1"/>
  <c r="G241" i="1"/>
  <c r="G240" i="1"/>
  <c r="F241" i="1"/>
  <c r="H240" i="1"/>
  <c r="I239" i="1"/>
  <c r="H239" i="1"/>
  <c r="G239" i="1"/>
  <c r="F239" i="1"/>
  <c r="I238" i="1"/>
  <c r="H238" i="1"/>
  <c r="G238" i="1"/>
  <c r="F238" i="1"/>
  <c r="I234" i="1"/>
  <c r="H234" i="1"/>
  <c r="G234" i="1"/>
  <c r="F234" i="1"/>
  <c r="G233" i="1"/>
  <c r="F233" i="1"/>
  <c r="H226" i="1"/>
  <c r="G226" i="1"/>
  <c r="F226" i="1"/>
  <c r="H225" i="1"/>
  <c r="G225" i="1"/>
  <c r="J223" i="1"/>
  <c r="G223" i="1"/>
  <c r="F223" i="1"/>
  <c r="H222" i="1"/>
  <c r="H221" i="1"/>
  <c r="H220" i="1"/>
  <c r="G220" i="1"/>
  <c r="F220" i="1"/>
  <c r="I216" i="1"/>
  <c r="H216" i="1"/>
  <c r="G216" i="1"/>
  <c r="F216" i="1"/>
  <c r="G215" i="1"/>
  <c r="F215" i="1"/>
  <c r="J205" i="1"/>
  <c r="I207" i="1"/>
  <c r="I203" i="1"/>
  <c r="I202" i="1"/>
  <c r="I198" i="1"/>
  <c r="H208" i="1"/>
  <c r="H207" i="1"/>
  <c r="H204" i="1"/>
  <c r="H203" i="1"/>
  <c r="H202" i="1"/>
  <c r="G208" i="1"/>
  <c r="G207" i="1"/>
  <c r="G205" i="1"/>
  <c r="G203" i="1"/>
  <c r="G202" i="1"/>
  <c r="G198" i="1"/>
  <c r="G197" i="1"/>
  <c r="F208" i="1"/>
  <c r="F207" i="1"/>
  <c r="F205" i="1"/>
  <c r="F203" i="1"/>
  <c r="F202" i="1"/>
  <c r="F198" i="1"/>
  <c r="F197" i="1"/>
  <c r="K239" i="1" l="1"/>
  <c r="I236" i="1"/>
  <c r="H241" i="1"/>
  <c r="H236" i="1"/>
  <c r="H235" i="1"/>
  <c r="H233" i="1"/>
  <c r="G236" i="1"/>
  <c r="F236" i="1"/>
  <c r="H215" i="1"/>
  <c r="G218" i="1"/>
  <c r="F218" i="1"/>
  <c r="J203" i="1"/>
  <c r="I205" i="1"/>
  <c r="I200" i="1"/>
  <c r="G200" i="1"/>
  <c r="F200" i="1"/>
  <c r="F7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H25" i="13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L542" i="1"/>
  <c r="J550" i="1" s="1"/>
  <c r="L543" i="1"/>
  <c r="J551" i="1" s="1"/>
  <c r="E132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E114" i="2"/>
  <c r="D115" i="2"/>
  <c r="F115" i="2"/>
  <c r="G115" i="2"/>
  <c r="E121" i="2"/>
  <c r="E123" i="2"/>
  <c r="E124" i="2"/>
  <c r="C125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H642" i="1" s="1"/>
  <c r="F470" i="1"/>
  <c r="G470" i="1"/>
  <c r="H470" i="1"/>
  <c r="I470" i="1"/>
  <c r="I476" i="1" s="1"/>
  <c r="H625" i="1" s="1"/>
  <c r="J470" i="1"/>
  <c r="J476" i="1" s="1"/>
  <c r="H626" i="1" s="1"/>
  <c r="F474" i="1"/>
  <c r="F476" i="1" s="1"/>
  <c r="H622" i="1" s="1"/>
  <c r="G474" i="1"/>
  <c r="G476" i="1" s="1"/>
  <c r="H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1" i="1"/>
  <c r="J641" i="1" s="1"/>
  <c r="H641" i="1"/>
  <c r="G643" i="1"/>
  <c r="H643" i="1"/>
  <c r="G644" i="1"/>
  <c r="G645" i="1"/>
  <c r="H645" i="1"/>
  <c r="G652" i="1"/>
  <c r="H652" i="1"/>
  <c r="G653" i="1"/>
  <c r="H653" i="1"/>
  <c r="G654" i="1"/>
  <c r="H654" i="1"/>
  <c r="H655" i="1"/>
  <c r="J655" i="1" s="1"/>
  <c r="L256" i="1"/>
  <c r="D18" i="13"/>
  <c r="C18" i="13" s="1"/>
  <c r="D17" i="13"/>
  <c r="C17" i="13" s="1"/>
  <c r="F78" i="2"/>
  <c r="F81" i="2" s="1"/>
  <c r="D50" i="2"/>
  <c r="G156" i="2"/>
  <c r="D19" i="13"/>
  <c r="C19" i="13" s="1"/>
  <c r="E78" i="2"/>
  <c r="E81" i="2" s="1"/>
  <c r="J571" i="1"/>
  <c r="D81" i="2"/>
  <c r="J644" i="1"/>
  <c r="G22" i="2"/>
  <c r="H140" i="1"/>
  <c r="F22" i="13"/>
  <c r="C22" i="13" s="1"/>
  <c r="J545" i="1"/>
  <c r="E16" i="13"/>
  <c r="C16" i="13" s="1"/>
  <c r="J645" i="1"/>
  <c r="G36" i="2"/>
  <c r="F192" i="1" l="1"/>
  <c r="J623" i="1"/>
  <c r="L419" i="1"/>
  <c r="L434" i="1" s="1"/>
  <c r="G638" i="1" s="1"/>
  <c r="J638" i="1" s="1"/>
  <c r="A40" i="12"/>
  <c r="J622" i="1"/>
  <c r="D31" i="2"/>
  <c r="D18" i="2"/>
  <c r="H52" i="1"/>
  <c r="H619" i="1" s="1"/>
  <c r="J619" i="1" s="1"/>
  <c r="E31" i="2"/>
  <c r="K605" i="1"/>
  <c r="G648" i="1" s="1"/>
  <c r="L570" i="1"/>
  <c r="H571" i="1"/>
  <c r="K550" i="1"/>
  <c r="L534" i="1"/>
  <c r="H552" i="1"/>
  <c r="H545" i="1"/>
  <c r="G552" i="1"/>
  <c r="I369" i="1"/>
  <c r="H634" i="1" s="1"/>
  <c r="J634" i="1" s="1"/>
  <c r="L351" i="1"/>
  <c r="L328" i="1"/>
  <c r="E120" i="2"/>
  <c r="E119" i="2"/>
  <c r="L309" i="1"/>
  <c r="E110" i="2"/>
  <c r="H338" i="1"/>
  <c r="H352" i="1" s="1"/>
  <c r="G338" i="1"/>
  <c r="G352" i="1" s="1"/>
  <c r="F338" i="1"/>
  <c r="F352" i="1" s="1"/>
  <c r="C25" i="10"/>
  <c r="C32" i="10"/>
  <c r="G651" i="1"/>
  <c r="H647" i="1"/>
  <c r="C21" i="10"/>
  <c r="C119" i="2"/>
  <c r="D14" i="13"/>
  <c r="C14" i="13" s="1"/>
  <c r="H257" i="1"/>
  <c r="H271" i="1" s="1"/>
  <c r="G257" i="1"/>
  <c r="G271" i="1" s="1"/>
  <c r="L229" i="1"/>
  <c r="C112" i="2"/>
  <c r="C110" i="2"/>
  <c r="F257" i="1"/>
  <c r="F271" i="1" s="1"/>
  <c r="C109" i="2"/>
  <c r="D5" i="13"/>
  <c r="C5" i="13" s="1"/>
  <c r="C16" i="10"/>
  <c r="C11" i="10"/>
  <c r="A13" i="12"/>
  <c r="D62" i="2"/>
  <c r="D63" i="2" s="1"/>
  <c r="C91" i="2"/>
  <c r="C78" i="2"/>
  <c r="C81" i="2" s="1"/>
  <c r="E62" i="2"/>
  <c r="E63" i="2" s="1"/>
  <c r="F112" i="1"/>
  <c r="C25" i="13"/>
  <c r="H33" i="13"/>
  <c r="J617" i="1"/>
  <c r="K257" i="1"/>
  <c r="K271" i="1" s="1"/>
  <c r="G157" i="2"/>
  <c r="C56" i="2"/>
  <c r="C35" i="10"/>
  <c r="L393" i="1"/>
  <c r="C138" i="2" s="1"/>
  <c r="E130" i="2"/>
  <c r="E144" i="2" s="1"/>
  <c r="C29" i="10"/>
  <c r="E122" i="2"/>
  <c r="E118" i="2"/>
  <c r="L290" i="1"/>
  <c r="C10" i="10"/>
  <c r="E109" i="2"/>
  <c r="D127" i="2"/>
  <c r="D128" i="2" s="1"/>
  <c r="F661" i="1"/>
  <c r="F662" i="1"/>
  <c r="C124" i="2"/>
  <c r="G649" i="1"/>
  <c r="J649" i="1" s="1"/>
  <c r="D15" i="13"/>
  <c r="C15" i="13" s="1"/>
  <c r="C18" i="10"/>
  <c r="D12" i="13"/>
  <c r="C12" i="13" s="1"/>
  <c r="C118" i="2"/>
  <c r="D6" i="13"/>
  <c r="C6" i="13" s="1"/>
  <c r="C15" i="10"/>
  <c r="L247" i="1"/>
  <c r="C111" i="2"/>
  <c r="C122" i="2"/>
  <c r="E13" i="13"/>
  <c r="C13" i="13" s="1"/>
  <c r="C19" i="10"/>
  <c r="C120" i="2"/>
  <c r="E8" i="13"/>
  <c r="C8" i="13" s="1"/>
  <c r="H112" i="1"/>
  <c r="H193" i="1" s="1"/>
  <c r="G629" i="1" s="1"/>
  <c r="J629" i="1" s="1"/>
  <c r="D29" i="13"/>
  <c r="C29" i="13" s="1"/>
  <c r="J651" i="1"/>
  <c r="L614" i="1"/>
  <c r="J639" i="1"/>
  <c r="L427" i="1"/>
  <c r="J257" i="1"/>
  <c r="J271" i="1" s="1"/>
  <c r="G192" i="1"/>
  <c r="B164" i="2"/>
  <c r="G164" i="2" s="1"/>
  <c r="K503" i="1"/>
  <c r="C121" i="2"/>
  <c r="E131" i="2"/>
  <c r="J549" i="1"/>
  <c r="J552" i="1" s="1"/>
  <c r="L544" i="1"/>
  <c r="F549" i="1"/>
  <c r="L524" i="1"/>
  <c r="L211" i="1"/>
  <c r="C26" i="10"/>
  <c r="C20" i="10"/>
  <c r="I545" i="1"/>
  <c r="I257" i="1"/>
  <c r="I271" i="1" s="1"/>
  <c r="K545" i="1"/>
  <c r="G545" i="1"/>
  <c r="K500" i="1"/>
  <c r="J625" i="1"/>
  <c r="F18" i="2"/>
  <c r="C18" i="2"/>
  <c r="C132" i="2"/>
  <c r="I551" i="1"/>
  <c r="L539" i="1"/>
  <c r="F130" i="2"/>
  <c r="F144" i="2" s="1"/>
  <c r="F145" i="2" s="1"/>
  <c r="H661" i="1"/>
  <c r="C17" i="10"/>
  <c r="J643" i="1"/>
  <c r="K598" i="1"/>
  <c r="G647" i="1" s="1"/>
  <c r="K571" i="1"/>
  <c r="L560" i="1"/>
  <c r="L529" i="1"/>
  <c r="D145" i="2"/>
  <c r="C123" i="2"/>
  <c r="E103" i="2"/>
  <c r="G661" i="1"/>
  <c r="G650" i="1"/>
  <c r="J650" i="1" s="1"/>
  <c r="G662" i="1"/>
  <c r="D7" i="13"/>
  <c r="C7" i="13" s="1"/>
  <c r="C13" i="10"/>
  <c r="G81" i="2"/>
  <c r="C62" i="2"/>
  <c r="C63" i="2" s="1"/>
  <c r="G112" i="1"/>
  <c r="L382" i="1"/>
  <c r="G636" i="1" s="1"/>
  <c r="J636" i="1" s="1"/>
  <c r="K338" i="1"/>
  <c r="K352" i="1" s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D5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C141" i="2" l="1"/>
  <c r="C144" i="2" s="1"/>
  <c r="D104" i="2"/>
  <c r="F193" i="1"/>
  <c r="G627" i="1" s="1"/>
  <c r="J627" i="1" s="1"/>
  <c r="L571" i="1"/>
  <c r="L545" i="1"/>
  <c r="L338" i="1"/>
  <c r="L352" i="1" s="1"/>
  <c r="G633" i="1" s="1"/>
  <c r="J633" i="1" s="1"/>
  <c r="H660" i="1"/>
  <c r="H664" i="1" s="1"/>
  <c r="H667" i="1" s="1"/>
  <c r="E115" i="2"/>
  <c r="G660" i="1"/>
  <c r="G664" i="1" s="1"/>
  <c r="G667" i="1" s="1"/>
  <c r="D31" i="13"/>
  <c r="C31" i="13" s="1"/>
  <c r="J647" i="1"/>
  <c r="E33" i="13"/>
  <c r="D35" i="13" s="1"/>
  <c r="H648" i="1"/>
  <c r="J648" i="1" s="1"/>
  <c r="L257" i="1"/>
  <c r="L271" i="1" s="1"/>
  <c r="G632" i="1" s="1"/>
  <c r="J632" i="1" s="1"/>
  <c r="C115" i="2"/>
  <c r="F660" i="1"/>
  <c r="F664" i="1" s="1"/>
  <c r="C28" i="10"/>
  <c r="D24" i="10" s="1"/>
  <c r="I661" i="1"/>
  <c r="E104" i="2"/>
  <c r="C104" i="2"/>
  <c r="C36" i="10"/>
  <c r="G104" i="2"/>
  <c r="K549" i="1"/>
  <c r="F552" i="1"/>
  <c r="C128" i="2"/>
  <c r="E128" i="2"/>
  <c r="I552" i="1"/>
  <c r="K551" i="1"/>
  <c r="L408" i="1"/>
  <c r="I662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D33" i="13"/>
  <c r="D36" i="13" s="1"/>
  <c r="H672" i="1"/>
  <c r="C6" i="10" s="1"/>
  <c r="C145" i="2"/>
  <c r="G672" i="1"/>
  <c r="C5" i="10" s="1"/>
  <c r="D23" i="10"/>
  <c r="D10" i="10"/>
  <c r="D20" i="10"/>
  <c r="C30" i="10"/>
  <c r="D16" i="10"/>
  <c r="D15" i="10"/>
  <c r="D11" i="10"/>
  <c r="D19" i="10"/>
  <c r="D13" i="10"/>
  <c r="D21" i="10"/>
  <c r="I660" i="1"/>
  <c r="I664" i="1" s="1"/>
  <c r="I672" i="1" s="1"/>
  <c r="C7" i="10" s="1"/>
  <c r="D26" i="10"/>
  <c r="D25" i="10"/>
  <c r="D22" i="10"/>
  <c r="D27" i="10"/>
  <c r="D18" i="10"/>
  <c r="D17" i="10"/>
  <c r="D12" i="10"/>
  <c r="G637" i="1"/>
  <c r="J637" i="1" s="1"/>
  <c r="H646" i="1"/>
  <c r="J646" i="1" s="1"/>
  <c r="K552" i="1"/>
  <c r="F672" i="1"/>
  <c r="C4" i="10" s="1"/>
  <c r="F667" i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<sst xmlns="http://schemas.openxmlformats.org/spreadsheetml/2006/main" count="3958" uniqueCount="916">
  <si>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</si>
  <si>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</si>
  <si>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</si>
  <si>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</si>
  <si>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</si>
  <si>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</si>
  <si>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</si>
  <si>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</si>
  <si>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</si>
  <si>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</si>
  <si>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</si>
  <si>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</si>
  <si>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</si>
  <si>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</si>
  <si>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</si>
  <si>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</si>
  <si>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</si>
  <si>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</si>
  <si>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</si>
  <si>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</si>
  <si>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</si>
  <si>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</si>
  <si>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</si>
  <si>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</si>
  <si>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</si>
  <si>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</si>
  <si>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</si>
  <si>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</si>
  <si>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</si>
  <si>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</si>
  <si>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</si>
  <si>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</si>
  <si>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</si>
  <si>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</si>
  <si>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</si>
  <si>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</si>
  <si>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</si>
  <si>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</si>
  <si>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</si>
  <si>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</si>
  <si>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</si>
  <si>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</si>
  <si>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</si>
  <si>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</si>
  <si>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</si>
  <si>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</si>
  <si>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</si>
  <si>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</si>
  <si>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</si>
  <si>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</si>
  <si>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</si>
  <si>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</si>
  <si>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</si>
  <si>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</si>
  <si>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</si>
  <si>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</si>
  <si>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</si>
  <si>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</si>
  <si>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</si>
  <si>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</si>
  <si>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</si>
  <si>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</si>
  <si>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</si>
  <si>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</si>
  <si>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</si>
  <si>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</si>
  <si>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</si>
  <si>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</si>
  <si>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</si>
  <si>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</si>
  <si>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</si>
  <si>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</si>
  <si>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</si>
  <si>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</si>
  <si>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</si>
  <si>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</si>
  <si>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</si>
  <si>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</si>
  <si>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</si>
  <si>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</si>
  <si>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</si>
  <si>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</si>
  <si>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</si>
  <si>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</si>
  <si>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</si>
  <si>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</si>
  <si>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</si>
  <si>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</si>
  <si>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</si>
  <si>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</si>
  <si>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</si>
  <si>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</si>
  <si>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</si>
  <si>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</si>
  <si>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</si>
  <si>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</si>
  <si>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</si>
  <si>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</si>
  <si>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</si>
  <si>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</si>
  <si>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</si>
  <si>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</si>
  <si>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</si>
  <si>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</si>
  <si>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</si>
  <si>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</si>
  <si>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</si>
  <si>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</si>
  <si>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</si>
  <si>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</si>
  <si>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</si>
  <si>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</si>
  <si>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</si>
  <si>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</si>
  <si>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</si>
  <si>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</si>
  <si>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</si>
  <si>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</si>
  <si>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</si>
  <si>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</si>
  <si>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</si>
  <si>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</si>
  <si>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</si>
  <si>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</si>
  <si>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</si>
  <si>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</si>
  <si>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</si>
  <si>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</si>
  <si>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</si>
  <si>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</si>
  <si>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</si>
  <si>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</si>
  <si>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</si>
  <si>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</si>
  <si>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</si>
  <si>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</si>
  <si>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</si>
  <si>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</si>
  <si>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</si>
  <si>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</si>
  <si>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</si>
  <si>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</si>
  <si>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</si>
  <si>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</si>
  <si>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</si>
  <si>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</si>
  <si>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</si>
  <si>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</si>
  <si>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</si>
  <si>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</si>
  <si>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</si>
  <si>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</si>
  <si>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</si>
  <si>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</si>
  <si>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</si>
  <si>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</si>
  <si>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</si>
  <si>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</si>
  <si>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</si>
  <si>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</si>
  <si>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</si>
  <si>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</si>
  <si>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</si>
  <si>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</si>
  <si>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</si>
  <si>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</si>
  <si>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</si>
  <si>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</si>
  <si>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</si>
  <si>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</si>
  <si>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</si>
  <si>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</si>
  <si>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</si>
  <si>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</si>
  <si>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</si>
  <si>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</si>
  <si>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</si>
  <si>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</si>
  <si>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</si>
  <si>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</si>
  <si>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</si>
  <si>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</si>
  <si>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</si>
  <si>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</si>
  <si>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</si>
  <si>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</si>
  <si>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</si>
  <si>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</si>
  <si>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</si>
  <si>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</si>
  <si>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</si>
  <si>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</si>
  <si>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</si>
  <si>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</si>
  <si>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</si>
  <si>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</si>
  <si>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</si>
  <si>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</si>
  <si>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</si>
  <si>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</si>
  <si>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</si>
  <si>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</si>
  <si>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</si>
  <si>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</si>
  <si>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</si>
  <si>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</si>
  <si>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</si>
  <si>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</si>
  <si>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</si>
  <si>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</si>
  <si>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</si>
  <si>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</si>
  <si>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</si>
  <si>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</si>
  <si>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</si>
  <si>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</si>
  <si>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</si>
  <si>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</si>
  <si>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</si>
  <si>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</si>
  <si>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</si>
  <si>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</si>
  <si>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</si>
  <si>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</si>
  <si>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</si>
  <si>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</si>
  <si>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</si>
  <si>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</si>
  <si>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</si>
  <si>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</si>
  <si>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</si>
  <si>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</si>
  <si>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</si>
  <si>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</si>
  <si>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</si>
  <si>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</si>
  <si>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</si>
  <si>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</si>
  <si>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</si>
  <si>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</si>
  <si>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</si>
  <si>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</si>
  <si>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</si>
  <si>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</si>
  <si>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</si>
  <si>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</si>
  <si>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</si>
  <si>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</si>
  <si>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</si>
  <si>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</si>
  <si>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</si>
  <si>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</si>
  <si>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</si>
  <si>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</si>
  <si>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</si>
  <si>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</si>
  <si>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</si>
  <si>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</si>
  <si>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</si>
  <si>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</si>
  <si>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</si>
  <si>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</si>
  <si>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</si>
  <si>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</si>
  <si>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</si>
  <si>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</si>
  <si>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</si>
  <si>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</si>
  <si>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</si>
  <si>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</si>
  <si>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</si>
  <si>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</si>
  <si>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</si>
  <si>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</si>
  <si>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</si>
  <si>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</si>
  <si>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</si>
  <si>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</si>
  <si>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</si>
  <si>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</si>
  <si>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</si>
  <si>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</si>
  <si>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</si>
  <si>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</si>
  <si>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</si>
  <si>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</si>
  <si>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</si>
  <si>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</si>
  <si>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</si>
  <si>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</si>
  <si>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</si>
  <si>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</si>
  <si>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</si>
  <si>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</si>
  <si>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</si>
  <si>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</si>
  <si>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</si>
  <si>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</si>
  <si>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</si>
  <si>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</si>
  <si>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</si>
  <si>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</si>
  <si>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</si>
  <si>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</si>
  <si>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</si>
  <si>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</si>
  <si>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</si>
  <si>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</si>
  <si>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</si>
  <si>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</si>
  <si>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</si>
  <si>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</si>
  <si>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</si>
  <si>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</si>
  <si>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</si>
  <si>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</si>
  <si>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</si>
  <si>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</si>
  <si>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</si>
  <si>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</si>
  <si>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</si>
  <si>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</si>
  <si>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</si>
  <si>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</si>
  <si>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</si>
  <si>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</si>
  <si>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</si>
  <si>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</si>
  <si>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</si>
  <si>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</si>
  <si>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</si>
  <si>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</si>
  <si>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</si>
  <si>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</si>
  <si>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</si>
  <si>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</si>
  <si>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</si>
  <si>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</si>
  <si>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</si>
  <si>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</si>
  <si>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</si>
  <si>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</si>
  <si>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</si>
  <si>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</si>
  <si>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</si>
  <si>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</si>
  <si>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</si>
  <si>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</si>
  <si>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</si>
  <si>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</si>
  <si>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</si>
  <si>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</si>
  <si>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</si>
  <si>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</si>
  <si>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</si>
  <si>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</si>
  <si>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</si>
  <si>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</si>
  <si>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</si>
  <si>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</si>
  <si>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</si>
  <si>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</si>
  <si>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</si>
  <si>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</si>
  <si>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</si>
  <si>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</si>
  <si>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</si>
  <si>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</si>
  <si>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</si>
  <si>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</si>
  <si>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</si>
  <si>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</si>
  <si>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</si>
  <si>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</si>
  <si>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</si>
  <si>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</si>
  <si>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</si>
  <si>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</si>
  <si>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</si>
  <si>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</si>
  <si>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</si>
  <si>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</si>
  <si>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</si>
  <si>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</si>
  <si>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</si>
  <si>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</si>
  <si>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</si>
  <si>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</si>
  <si>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</si>
  <si>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</si>
  <si>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</si>
  <si>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</si>
  <si>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</si>
  <si>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</si>
  <si>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</si>
  <si>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</si>
  <si>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</si>
  <si>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</si>
  <si>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</si>
  <si>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</si>
  <si>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</si>
  <si>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</si>
  <si>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</si>
  <si>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</si>
  <si>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</si>
  <si>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</si>
  <si>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</si>
  <si>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</si>
  <si>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</si>
  <si>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</si>
  <si>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</si>
  <si>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</si>
  <si>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</si>
  <si>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</si>
  <si>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</si>
  <si>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</si>
  <si>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</si>
  <si>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</si>
  <si>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</si>
  <si>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</si>
  <si>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</si>
  <si>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</si>
  <si>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</si>
  <si>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</si>
  <si>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</si>
  <si>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</si>
  <si>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</si>
  <si>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</si>
  <si>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</si>
  <si>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</si>
  <si>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</si>
  <si>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</si>
  <si>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</si>
  <si>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</si>
  <si>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</si>
  <si>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</si>
  <si>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</si>
  <si>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</si>
  <si>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</si>
  <si>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</si>
  <si>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</si>
  <si>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</si>
  <si>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</si>
  <si>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</si>
  <si>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</si>
  <si>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</si>
  <si>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</si>
  <si>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</si>
  <si>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</si>
  <si>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</si>
  <si>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</si>
  <si>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</si>
  <si>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</si>
  <si>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</si>
  <si>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</si>
  <si>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</si>
  <si>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</si>
  <si>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</si>
  <si>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</si>
  <si>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</si>
  <si>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</si>
  <si>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</si>
  <si>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</si>
  <si>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</si>
  <si>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</si>
  <si>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</si>
  <si>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</si>
  <si>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</si>
  <si>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</si>
  <si>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</si>
  <si>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</si>
  <si>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</si>
  <si>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</si>
  <si>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</si>
  <si>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</si>
  <si>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</si>
  <si>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</si>
  <si>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</si>
  <si>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</si>
  <si>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</si>
  <si>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</si>
  <si>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</si>
  <si>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</si>
  <si>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</si>
  <si>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</si>
  <si>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</si>
  <si>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</si>
  <si>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</si>
  <si>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</si>
  <si>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</si>
  <si>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</si>
  <si>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</si>
  <si>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</si>
  <si>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</si>
  <si>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</si>
  <si>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</si>
  <si>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</si>
  <si>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</si>
  <si>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</si>
  <si>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</si>
  <si>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</si>
  <si>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</si>
  <si>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</si>
  <si>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</si>
  <si>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</si>
  <si>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</si>
  <si>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</si>
  <si>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</si>
  <si>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</si>
  <si>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</si>
  <si>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</si>
  <si>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</si>
  <si>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</si>
  <si>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</si>
  <si>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</si>
  <si>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</si>
  <si>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</si>
  <si>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</si>
  <si>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</si>
  <si>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</si>
  <si>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</si>
  <si>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</si>
  <si>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</si>
  <si>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</si>
  <si>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</si>
  <si>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</si>
  <si>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</si>
  <si>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</si>
  <si>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</si>
  <si>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</si>
  <si>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</si>
  <si>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</si>
  <si>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</si>
  <si>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</si>
  <si>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</si>
  <si>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</si>
  <si>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</si>
  <si>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</si>
  <si>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</si>
  <si>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</si>
  <si>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</si>
  <si>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</si>
  <si>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</si>
  <si>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</si>
  <si>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</si>
  <si>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</si>
  <si>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</si>
  <si>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</si>
  <si>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</si>
  <si>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</si>
  <si>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</si>
  <si>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</si>
  <si>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</si>
  <si>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</si>
  <si>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</si>
  <si>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</si>
  <si>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</si>
  <si>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</si>
  <si>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</si>
  <si>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</si>
  <si>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</si>
  <si>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</si>
  <si>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</si>
  <si>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</si>
  <si>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</si>
  <si>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</si>
  <si>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</si>
  <si>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</si>
  <si>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</si>
  <si>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</si>
  <si>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</si>
  <si>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</si>
  <si>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</si>
  <si>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</si>
  <si>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</si>
  <si>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</si>
  <si>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</si>
  <si>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</si>
  <si>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</si>
  <si>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</si>
  <si>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</si>
  <si>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</si>
  <si>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</si>
  <si>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</si>
  <si>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</si>
  <si>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</si>
  <si>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</si>
  <si>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</si>
  <si>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</si>
  <si>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</si>
  <si>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</si>
  <si>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</si>
  <si>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</si>
  <si>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</si>
  <si>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</si>
  <si>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</si>
  <si>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</si>
  <si>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</si>
  <si>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</si>
  <si>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</si>
  <si>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</si>
  <si>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</si>
  <si>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</si>
  <si>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</si>
  <si>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</si>
  <si>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</si>
  <si>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</si>
  <si>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</si>
  <si>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</si>
  <si>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</si>
  <si>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</si>
  <si>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</si>
  <si>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</si>
  <si>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</si>
  <si>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</si>
  <si>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</si>
  <si>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</si>
  <si>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</si>
  <si>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</si>
  <si>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</si>
  <si>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</si>
  <si>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</si>
  <si>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</si>
  <si>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</si>
  <si>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</si>
  <si>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</si>
  <si>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</si>
  <si>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</si>
  <si>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</si>
  <si>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</si>
  <si>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</si>
  <si>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</si>
  <si>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</si>
  <si>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</si>
  <si>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</si>
  <si>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</si>
  <si>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</si>
  <si>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</si>
  <si>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</si>
  <si>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</si>
  <si>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</si>
  <si>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</si>
  <si>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</si>
  <si>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</si>
  <si>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</si>
  <si>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</si>
  <si>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</si>
  <si>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</si>
  <si>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</si>
  <si>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</si>
  <si>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</si>
  <si>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</si>
  <si>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</si>
  <si>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</si>
  <si>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</si>
  <si>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</si>
  <si>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</si>
  <si>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</si>
  <si>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</si>
  <si>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</si>
  <si>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</si>
  <si>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</si>
  <si>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</si>
  <si>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</si>
  <si>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</si>
  <si>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</si>
  <si>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</si>
  <si>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</si>
  <si>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</si>
  <si>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</si>
  <si>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</si>
  <si>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</si>
  <si>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</si>
  <si>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</si>
  <si>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</si>
  <si>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</si>
  <si>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</si>
  <si>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</si>
  <si>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</si>
  <si>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</si>
  <si>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</si>
  <si>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</si>
  <si>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</si>
  <si>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</si>
  <si>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</si>
  <si>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</si>
  <si>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</si>
  <si>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</si>
  <si>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</si>
  <si>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</si>
  <si>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</si>
  <si>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</si>
  <si>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</si>
  <si>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</si>
  <si>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</si>
  <si>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</si>
  <si>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</si>
  <si>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</si>
  <si>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</si>
  <si>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</si>
  <si>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</si>
  <si>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</si>
  <si>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</si>
  <si>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</si>
  <si>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</si>
  <si>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</si>
  <si>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</si>
  <si>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</si>
  <si>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</si>
  <si>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</si>
  <si>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</si>
  <si>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</si>
  <si>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</si>
  <si>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</si>
  <si>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</si>
  <si>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</si>
  <si>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</si>
  <si>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</si>
  <si>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</si>
  <si>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</si>
  <si>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</si>
  <si>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</si>
  <si>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</si>
  <si>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</si>
  <si>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</si>
  <si>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</si>
  <si>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</si>
  <si>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</si>
  <si>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</si>
  <si>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</si>
  <si>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</si>
  <si>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</si>
  <si>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</si>
  <si>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</si>
  <si>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</si>
  <si>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</si>
  <si>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</si>
  <si>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</si>
  <si>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</si>
  <si>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</si>
  <si>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</si>
  <si>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</si>
  <si>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</si>
  <si>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</si>
  <si>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</si>
  <si>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</si>
  <si>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</si>
  <si>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</si>
  <si>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</si>
  <si>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</si>
  <si>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</si>
  <si>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</si>
  <si>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</si>
  <si>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</si>
  <si>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</si>
  <si>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</si>
  <si>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</si>
  <si>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</si>
  <si>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</si>
  <si>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</si>
  <si>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</si>
  <si>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</si>
  <si>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</si>
  <si>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</si>
  <si>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</si>
  <si>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</si>
  <si>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</si>
  <si>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</si>
  <si>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</si>
  <si>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</si>
  <si>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</si>
  <si>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</si>
  <si>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</si>
  <si>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</si>
  <si>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</si>
  <si>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</si>
  <si>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</si>
  <si>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</si>
  <si>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</si>
  <si>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</si>
  <si>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</si>
  <si>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</si>
  <si>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</si>
  <si>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</si>
  <si>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</si>
  <si>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</si>
  <si>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</si>
  <si>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</si>
  <si>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</si>
  <si>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</si>
  <si>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</si>
  <si>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</si>
  <si>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</si>
  <si>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</si>
  <si>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</si>
  <si>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</si>
  <si>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</si>
  <si>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</si>
  <si>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</si>
  <si>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</si>
  <si>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</si>
  <si>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</si>
  <si>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</si>
  <si>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</si>
  <si>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</si>
  <si>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</si>
  <si>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</si>
  <si>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</si>
  <si>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</si>
  <si>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</si>
  <si>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</si>
  <si>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</si>
  <si>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</si>
  <si>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</si>
  <si>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</si>
  <si>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</si>
  <si>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</si>
  <si>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</si>
  <si>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</si>
  <si>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</si>
  <si>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</si>
  <si>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</si>
  <si>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</si>
  <si>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</si>
  <si>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</si>
  <si>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</si>
  <si>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</si>
  <si>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</si>
  <si>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</si>
  <si>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</si>
  <si>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</si>
  <si>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</si>
  <si>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</si>
  <si>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</si>
  <si>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</si>
  <si>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</si>
  <si>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</si>
  <si>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</si>
  <si>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</si>
  <si>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</si>
  <si>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</si>
  <si>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</si>
  <si>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</si>
  <si>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</si>
  <si>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</si>
  <si>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</si>
  <si>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</si>
  <si>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</si>
  <si>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</si>
  <si>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</si>
  <si>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</si>
  <si>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</si>
  <si>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</si>
  <si>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</si>
  <si>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</si>
  <si>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</si>
  <si>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</si>
  <si>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</si>
  <si>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</si>
  <si>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</si>
  <si>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</si>
  <si>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</si>
  <si>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</si>
  <si>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</si>
  <si>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</si>
  <si>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</si>
  <si>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</si>
  <si>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</si>
  <si>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</si>
  <si>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</si>
  <si>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</si>
  <si>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</si>
  <si>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</si>
  <si>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</si>
  <si>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</si>
  <si>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</si>
  <si>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</si>
  <si>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</si>
  <si>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</si>
  <si>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</si>
  <si>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</si>
  <si>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</si>
  <si>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</si>
  <si>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</si>
  <si>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</si>
  <si>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</si>
  <si>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</si>
  <si>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</si>
  <si>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</si>
  <si>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</si>
  <si>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</si>
  <si>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</si>
  <si>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</si>
  <si>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</si>
  <si>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</si>
  <si>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</si>
  <si>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</si>
  <si>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</si>
  <si>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</si>
  <si>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</si>
  <si>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</si>
  <si>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</si>
  <si>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</si>
  <si>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</si>
  <si>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</si>
  <si>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</si>
  <si>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</si>
  <si>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</si>
  <si>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</si>
  <si>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</si>
  <si>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</si>
  <si>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</si>
  <si>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8/15/2007</t>
  </si>
  <si>
    <t>8/15/2027</t>
  </si>
  <si>
    <t>Trust Fund Principal Balances</t>
  </si>
  <si>
    <t xml:space="preserve">Newport School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</si>
</sst>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 wrapText="1"/>
      <protection locked="0"/>
    </xf>
    <xf numFmtId="49" fontId="10" fillId="0" borderId="10" xfId="0" applyNumberFormat="1" applyFont="1" applyBorder="1" applyAlignment="1" applyProtection="1">
      <alignment horizontal="left" wrapText="1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401</v>
      </c>
      <c r="C2" s="21">
        <v>401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573162.51+447.65+5152</f>
        <v>578762.16</v>
      </c>
      <c r="G9" s="18"/>
      <c r="H9" s="18"/>
      <c r="I9" s="18"/>
      <c r="J9" s="67">
        <f>SUM(I439)</f>
        <v>480929.45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166434.38</v>
      </c>
      <c r="G12" s="18">
        <v>-17711.03</v>
      </c>
      <c r="H12" s="18">
        <v>-148723.35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350183.63</v>
      </c>
      <c r="G13" s="18">
        <v>12595.05</v>
      </c>
      <c r="H13" s="18">
        <v>178354.25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8158.08</v>
      </c>
      <c r="G14" s="18">
        <f>4971.65</f>
        <v>4971.6499999999996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15644.59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5465.21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1530.95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1109003.46</v>
      </c>
      <c r="G19" s="41">
        <f>SUM(G9:G18)</f>
        <v>17031.21</v>
      </c>
      <c r="H19" s="41">
        <f>SUM(H9:H18)</f>
        <v>29630.899999999994</v>
      </c>
      <c r="I19" s="41">
        <f>SUM(I9:I18)</f>
        <v>0</v>
      </c>
      <c r="J19" s="41">
        <f>SUM(J9:J18)</f>
        <v>480929.45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170276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2375.9499999999998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183706.04</v>
      </c>
      <c r="G24" s="18"/>
      <c r="H24" s="18">
        <v>11626.69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22500.91</v>
      </c>
      <c r="G25" s="145"/>
      <c r="H25" s="18">
        <v>934.72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1353.93+2417.55+318.18</f>
        <v>4089.6600000000003</v>
      </c>
      <c r="G29" s="18"/>
      <c r="H29" s="18">
        <f>57.96+13.56</f>
        <v>71.52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10756.86</v>
      </c>
      <c r="H30" s="18">
        <v>16997.97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4774.3500000000004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212672.56000000003</v>
      </c>
      <c r="G32" s="41">
        <f>SUM(G22:G31)</f>
        <v>15531.210000000001</v>
      </c>
      <c r="H32" s="41">
        <f>SUM(H22:H31)</f>
        <v>29630.9</v>
      </c>
      <c r="I32" s="41">
        <f>SUM(I22:I31)</f>
        <v>0</v>
      </c>
      <c r="J32" s="41">
        <f>SUM(J22:J31)</f>
        <v>170276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f>-2542.61+2542.61</f>
        <v>0</v>
      </c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1500</v>
      </c>
      <c r="H48" s="18"/>
      <c r="I48" s="18"/>
      <c r="J48" s="13">
        <f>SUM(I459)</f>
        <v>310653.45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45356</v>
      </c>
      <c r="G49" s="18"/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588509.33+262465.57</f>
        <v>850974.89999999991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896330.89999999991</v>
      </c>
      <c r="G51" s="41">
        <f>SUM(G35:G50)</f>
        <v>1500</v>
      </c>
      <c r="H51" s="41">
        <f>SUM(H35:H50)</f>
        <v>0</v>
      </c>
      <c r="I51" s="41">
        <f>SUM(I35:I50)</f>
        <v>0</v>
      </c>
      <c r="J51" s="41">
        <f>SUM(J35:J50)</f>
        <v>310653.45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1109003.46</v>
      </c>
      <c r="G52" s="41">
        <f>G51+G32</f>
        <v>17031.21</v>
      </c>
      <c r="H52" s="41">
        <f>H51+H32</f>
        <v>29630.9</v>
      </c>
      <c r="I52" s="41">
        <f>I51+I32</f>
        <v>0</v>
      </c>
      <c r="J52" s="41">
        <f>J51+J32</f>
        <v>480929.45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5390909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5390909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10158.6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31414.11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f>1571974.96</f>
        <v>1571974.96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186700.71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1800248.38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187.27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187.27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2365.2199999999998</v>
      </c>
      <c r="G96" s="18"/>
      <c r="H96" s="18"/>
      <c r="I96" s="18"/>
      <c r="J96" s="18">
        <f>86.98+136.7+255.37+914.49+54.11</f>
        <v>1447.6499999999999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100329.04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600</v>
      </c>
      <c r="G102" s="18"/>
      <c r="H102" s="18">
        <f>20.66+729.27+769.63</f>
        <v>1519.56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190510.48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16654.33+34755.51</f>
        <v>51409.840000000004</v>
      </c>
      <c r="G110" s="18">
        <f>3000+5810.84</f>
        <v>8810.84</v>
      </c>
      <c r="H110" s="18">
        <v>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244885.54</v>
      </c>
      <c r="G111" s="41">
        <f>SUM(G96:G110)</f>
        <v>109139.87999999999</v>
      </c>
      <c r="H111" s="41">
        <f>SUM(H96:H110)</f>
        <v>1519.56</v>
      </c>
      <c r="I111" s="41">
        <f>SUM(I96:I110)</f>
        <v>0</v>
      </c>
      <c r="J111" s="41">
        <f>SUM(J96:J110)</f>
        <v>1447.6499999999999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7436230.1899999995</v>
      </c>
      <c r="G112" s="41">
        <f>G60+G111</f>
        <v>109139.87999999999</v>
      </c>
      <c r="H112" s="41">
        <f>H60+H79+H94+H111</f>
        <v>1519.56</v>
      </c>
      <c r="I112" s="41">
        <f>I60+I111</f>
        <v>0</v>
      </c>
      <c r="J112" s="41">
        <f>J60+J111</f>
        <v>1447.6499999999999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6649509.6200000001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985538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7635047.6200000001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339729.59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175630.57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40716.76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1452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4792.66+727.5</f>
        <v>5520.16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557528.92000000004</v>
      </c>
      <c r="G136" s="41">
        <f>SUM(G123:G135)</f>
        <v>5520.16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8192576.54</v>
      </c>
      <c r="G140" s="41">
        <f>G121+SUM(G136:G137)</f>
        <v>5520.16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576229.9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330035.7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55000.45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206427.98+44620.2+15725.07+24072</f>
        <v>290845.25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111423.45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111423.45</v>
      </c>
      <c r="G162" s="41">
        <f>SUM(G150:G161)</f>
        <v>290845.25</v>
      </c>
      <c r="H162" s="41">
        <f>SUM(H150:H161)</f>
        <v>961266.05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111423.45</v>
      </c>
      <c r="G169" s="41">
        <f>G147+G162+SUM(G163:G168)</f>
        <v>290845.25</v>
      </c>
      <c r="H169" s="41">
        <f>H147+H162+SUM(H163:H168)</f>
        <v>961266.05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2923.95</v>
      </c>
      <c r="H179" s="18">
        <v>1000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2923.95</v>
      </c>
      <c r="H183" s="41">
        <f>SUM(H179:H182)</f>
        <v>1000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170276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170276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170276</v>
      </c>
      <c r="G192" s="41">
        <f>G183+SUM(G188:G191)</f>
        <v>2923.95</v>
      </c>
      <c r="H192" s="41">
        <f>+H183+SUM(H188:H191)</f>
        <v>1000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15910506.18</v>
      </c>
      <c r="G193" s="47">
        <f>G112+G140+G169+G192</f>
        <v>408429.24</v>
      </c>
      <c r="H193" s="47">
        <f>H112+H140+H169+H192</f>
        <v>963785.6100000001</v>
      </c>
      <c r="I193" s="47">
        <f>I112+I140+I169+I192</f>
        <v>0</v>
      </c>
      <c r="J193" s="47">
        <f>J112+J140+J192</f>
        <v>1447.6499999999999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1383735.76+62733.49</f>
        <v>1446469.25</v>
      </c>
      <c r="G197" s="18">
        <f>760394.62+46094.77</f>
        <v>806489.39</v>
      </c>
      <c r="H197" s="18">
        <f>815.45+7026.91</f>
        <v>7842.36</v>
      </c>
      <c r="I197" s="18">
        <v>53313.05</v>
      </c>
      <c r="J197" s="18">
        <v>437.34</v>
      </c>
      <c r="K197" s="18"/>
      <c r="L197" s="19">
        <f>SUM(F197:K197)</f>
        <v>2314551.3899999997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606669.67+13484.27</f>
        <v>620153.94000000006</v>
      </c>
      <c r="G198" s="18">
        <f>174232.53+8535.58</f>
        <v>182768.11</v>
      </c>
      <c r="H198" s="18">
        <f>5035.17+24819.43+865.84+260232.91+0.1</f>
        <v>290953.44999999995</v>
      </c>
      <c r="I198" s="18">
        <f>1673.78+377.34</f>
        <v>2051.12</v>
      </c>
      <c r="J198" s="18">
        <v>327.5</v>
      </c>
      <c r="K198" s="18">
        <v>3560.15</v>
      </c>
      <c r="L198" s="19">
        <f>SUM(F198:K198)</f>
        <v>1099814.27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1030.89+19440</f>
        <v>20470.89</v>
      </c>
      <c r="G200" s="18">
        <f>120.65+3924.35</f>
        <v>4045</v>
      </c>
      <c r="H200" s="18"/>
      <c r="I200" s="18">
        <f>516.41</f>
        <v>516.41</v>
      </c>
      <c r="J200" s="18"/>
      <c r="K200" s="18"/>
      <c r="L200" s="19">
        <f>SUM(F200:K200)</f>
        <v>25032.3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105574+69269.05+36397.2+154230.06+78858.93+36357.76</f>
        <v>480687</v>
      </c>
      <c r="G202" s="18">
        <f>67162.48+22795.43+13682.03+90485.84+39803.92+2949.61</f>
        <v>236879.31</v>
      </c>
      <c r="H202" s="18">
        <f>13995.1+1490.83+57889.05+0+103.4+1274.24+250.13+2676.23+77986.81</f>
        <v>155665.79</v>
      </c>
      <c r="I202" s="18">
        <f>0+2402.7+1774.37+143.36+396.49</f>
        <v>4716.9199999999992</v>
      </c>
      <c r="J202" s="18"/>
      <c r="K202" s="18"/>
      <c r="L202" s="19">
        <f t="shared" ref="L202:L208" si="0">SUM(F202:K202)</f>
        <v>877949.02000000014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22365.95+86671.44</f>
        <v>109037.39</v>
      </c>
      <c r="G203" s="18">
        <f>765.35+12986.08+39696.29</f>
        <v>53447.72</v>
      </c>
      <c r="H203" s="18">
        <f>5330.29+125+58809.48+26240.75+7543.58+1337.37</f>
        <v>99386.47</v>
      </c>
      <c r="I203" s="18">
        <f>9905.04+5551.73+110.62</f>
        <v>15567.390000000001</v>
      </c>
      <c r="J203" s="18">
        <f>818.94+32035.9</f>
        <v>32854.840000000004</v>
      </c>
      <c r="K203" s="18">
        <v>600</v>
      </c>
      <c r="L203" s="19">
        <f t="shared" si="0"/>
        <v>310893.81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6085.23</v>
      </c>
      <c r="G204" s="18">
        <v>1904.26</v>
      </c>
      <c r="H204" s="18">
        <f>380757.3+6032.3</f>
        <v>386789.6</v>
      </c>
      <c r="I204" s="18">
        <v>1067.29</v>
      </c>
      <c r="J204" s="18"/>
      <c r="K204" s="18">
        <v>5031.16</v>
      </c>
      <c r="L204" s="19">
        <f t="shared" si="0"/>
        <v>400877.53999999992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166622.12+11833.88</f>
        <v>178456</v>
      </c>
      <c r="G205" s="18">
        <f>45371.06+1005.87</f>
        <v>46376.93</v>
      </c>
      <c r="H205" s="18">
        <v>3414.43</v>
      </c>
      <c r="I205" s="18">
        <f>1326.77</f>
        <v>1326.77</v>
      </c>
      <c r="J205" s="18">
        <f>2206.8+288.34</f>
        <v>2495.1400000000003</v>
      </c>
      <c r="K205" s="18">
        <v>1470</v>
      </c>
      <c r="L205" s="19">
        <f t="shared" si="0"/>
        <v>233539.27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110571.38+25896.71</f>
        <v>136468.09</v>
      </c>
      <c r="G207" s="18">
        <f>75062.54+16131.56</f>
        <v>91194.099999999991</v>
      </c>
      <c r="H207" s="18">
        <f>136675.98+24074.75+729.56+1283.35</f>
        <v>162763.64000000001</v>
      </c>
      <c r="I207" s="18">
        <f>148877.08+436.48</f>
        <v>149313.56</v>
      </c>
      <c r="J207" s="18"/>
      <c r="K207" s="18"/>
      <c r="L207" s="19">
        <f t="shared" si="0"/>
        <v>539739.39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-3174.36+5069.6+190082.58</f>
        <v>191977.81999999998</v>
      </c>
      <c r="G208" s="18">
        <f>-566.59+669.92+41963.16</f>
        <v>42066.490000000005</v>
      </c>
      <c r="H208" s="18">
        <f>81391.97+3340.6+35709.21+5640.65</f>
        <v>126082.43</v>
      </c>
      <c r="I208" s="18">
        <v>23341.13</v>
      </c>
      <c r="J208" s="18">
        <f>95888.33-18999.11</f>
        <v>76889.22</v>
      </c>
      <c r="K208" s="18">
        <v>328.79</v>
      </c>
      <c r="L208" s="19">
        <f t="shared" si="0"/>
        <v>460685.87999999995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3189805.61</v>
      </c>
      <c r="G211" s="41">
        <f t="shared" si="1"/>
        <v>1465171.31</v>
      </c>
      <c r="H211" s="41">
        <f t="shared" si="1"/>
        <v>1232898.17</v>
      </c>
      <c r="I211" s="41">
        <f t="shared" si="1"/>
        <v>251213.64</v>
      </c>
      <c r="J211" s="41">
        <f t="shared" si="1"/>
        <v>113004.04000000001</v>
      </c>
      <c r="K211" s="41">
        <f t="shared" si="1"/>
        <v>10990.1</v>
      </c>
      <c r="L211" s="41">
        <f t="shared" si="1"/>
        <v>6263082.8699999982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529961.04+17750.97</f>
        <v>547712.01</v>
      </c>
      <c r="G215" s="18">
        <f>301649.57+13042.9</f>
        <v>314692.47000000003</v>
      </c>
      <c r="H215" s="18">
        <f>23.88+145.5</f>
        <v>169.38</v>
      </c>
      <c r="I215" s="18">
        <v>21213.65</v>
      </c>
      <c r="J215" s="18">
        <v>322.35000000000002</v>
      </c>
      <c r="K215" s="18">
        <v>329</v>
      </c>
      <c r="L215" s="19">
        <f>SUM(F215:K215)</f>
        <v>884438.86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116312.57+3815.49</f>
        <v>120128.06000000001</v>
      </c>
      <c r="G216" s="18">
        <f>42739.15+2415.21</f>
        <v>45154.36</v>
      </c>
      <c r="H216" s="18">
        <f>100649.11+7022.87+245</f>
        <v>107916.98</v>
      </c>
      <c r="I216" s="18">
        <f>2163.51+106.77</f>
        <v>2270.2800000000002</v>
      </c>
      <c r="J216" s="18">
        <v>1535.51</v>
      </c>
      <c r="K216" s="18">
        <v>1007.37</v>
      </c>
      <c r="L216" s="19">
        <f>SUM(F216:K216)</f>
        <v>278012.56000000006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1717.65+13332.94+15120</f>
        <v>30170.59</v>
      </c>
      <c r="G218" s="18">
        <f>245.68+1396.97+2835.82</f>
        <v>4478.47</v>
      </c>
      <c r="H218" s="18"/>
      <c r="I218" s="18"/>
      <c r="J218" s="18"/>
      <c r="K218" s="18"/>
      <c r="L218" s="19">
        <f>SUM(F218:K218)</f>
        <v>34649.06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48321.63+20809.49+10287.73</f>
        <v>79418.849999999991</v>
      </c>
      <c r="G220" s="18">
        <f>19652.83+2289.21+834.62</f>
        <v>22776.66</v>
      </c>
      <c r="H220" s="18">
        <f>1200+1156.38+2158.18+3867.75+22067.02</f>
        <v>30449.33</v>
      </c>
      <c r="I220" s="18">
        <v>112.19</v>
      </c>
      <c r="J220" s="18"/>
      <c r="K220" s="18"/>
      <c r="L220" s="19">
        <f t="shared" ref="L220:L226" si="2">SUM(F220:K220)</f>
        <v>132757.03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24524.41</v>
      </c>
      <c r="G221" s="18">
        <v>11232.4</v>
      </c>
      <c r="H221" s="18">
        <f>2134.52+378.42</f>
        <v>2512.94</v>
      </c>
      <c r="I221" s="18">
        <v>31.3</v>
      </c>
      <c r="J221" s="18"/>
      <c r="K221" s="18"/>
      <c r="L221" s="19">
        <f t="shared" si="2"/>
        <v>38301.050000000003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1721.87</v>
      </c>
      <c r="G222" s="18">
        <v>538.83000000000004</v>
      </c>
      <c r="H222" s="18">
        <f>107738.48+1706.89</f>
        <v>109445.37</v>
      </c>
      <c r="I222" s="18">
        <v>302</v>
      </c>
      <c r="J222" s="18"/>
      <c r="K222" s="18">
        <v>1423.61</v>
      </c>
      <c r="L222" s="19">
        <f t="shared" si="2"/>
        <v>113431.67999999999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30160.8+3348.5</f>
        <v>33509.300000000003</v>
      </c>
      <c r="G223" s="18">
        <f>6992.36+284.62</f>
        <v>7276.98</v>
      </c>
      <c r="H223" s="18"/>
      <c r="I223" s="18"/>
      <c r="J223" s="18">
        <f>81.59</f>
        <v>81.59</v>
      </c>
      <c r="K223" s="18"/>
      <c r="L223" s="19">
        <f t="shared" si="2"/>
        <v>40867.869999999995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5369.34</v>
      </c>
      <c r="G225" s="18">
        <f>-0.02+3344.67</f>
        <v>3344.65</v>
      </c>
      <c r="H225" s="18">
        <f>151.26+266.09</f>
        <v>417.34999999999997</v>
      </c>
      <c r="I225" s="18">
        <v>90.5</v>
      </c>
      <c r="J225" s="18"/>
      <c r="K225" s="18"/>
      <c r="L225" s="19">
        <f t="shared" si="2"/>
        <v>9221.84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2990.57+626.06+53785.47</f>
        <v>57402.1</v>
      </c>
      <c r="G226" s="18">
        <f>383.92+77.45+11873.83</f>
        <v>12335.2</v>
      </c>
      <c r="H226" s="18">
        <f>8550+945.25+10104.22+1596.07</f>
        <v>21195.54</v>
      </c>
      <c r="I226" s="18">
        <v>6604.57</v>
      </c>
      <c r="J226" s="18">
        <f>27132.41-19865.59+9</f>
        <v>7275.82</v>
      </c>
      <c r="K226" s="18">
        <v>93.03</v>
      </c>
      <c r="L226" s="19">
        <f t="shared" si="2"/>
        <v>104906.26000000001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899956.53</v>
      </c>
      <c r="G229" s="41">
        <f>SUM(G215:G228)</f>
        <v>421830.02</v>
      </c>
      <c r="H229" s="41">
        <f>SUM(H215:H228)</f>
        <v>272106.89</v>
      </c>
      <c r="I229" s="41">
        <f>SUM(I215:I228)</f>
        <v>30624.489999999998</v>
      </c>
      <c r="J229" s="41">
        <f>SUM(J215:J228)</f>
        <v>9215.27</v>
      </c>
      <c r="K229" s="41">
        <f t="shared" si="3"/>
        <v>2853.0099999999998</v>
      </c>
      <c r="L229" s="41">
        <f t="shared" si="3"/>
        <v>1636586.21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951860.29+39548.67</f>
        <v>991408.96000000008</v>
      </c>
      <c r="G233" s="18">
        <f>505424.78+29059.22</f>
        <v>534484</v>
      </c>
      <c r="H233" s="18">
        <f>1727.91+9627.79+2755.07</f>
        <v>14110.77</v>
      </c>
      <c r="I233" s="18">
        <v>58588.62</v>
      </c>
      <c r="J233" s="18">
        <v>7807.46</v>
      </c>
      <c r="K233" s="18">
        <v>6533.4</v>
      </c>
      <c r="L233" s="19">
        <f>SUM(F233:K233)</f>
        <v>1612933.21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487231.23+8500.8</f>
        <v>495732.02999999997</v>
      </c>
      <c r="G234" s="18">
        <f>240342.32+5381.03</f>
        <v>245723.35</v>
      </c>
      <c r="H234" s="18">
        <f>1200+703076.08+15646.75+545.85</f>
        <v>720468.67999999993</v>
      </c>
      <c r="I234" s="18">
        <f>1424.32+237.89</f>
        <v>1662.21</v>
      </c>
      <c r="J234" s="18">
        <v>0</v>
      </c>
      <c r="K234" s="18">
        <v>2244.4</v>
      </c>
      <c r="L234" s="19">
        <f>SUM(F234:K234)</f>
        <v>1465830.67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397333.47</v>
      </c>
      <c r="G235" s="18">
        <v>216722.78</v>
      </c>
      <c r="H235" s="18">
        <f>6354.39+4180.18</f>
        <v>10534.57</v>
      </c>
      <c r="I235" s="18">
        <v>38870.639999999999</v>
      </c>
      <c r="J235" s="18">
        <v>10125.209999999999</v>
      </c>
      <c r="K235" s="18">
        <v>975</v>
      </c>
      <c r="L235" s="19">
        <f>SUM(F235:K235)</f>
        <v>674561.66999999993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39842.39+93574.2+20707.5</f>
        <v>154124.09</v>
      </c>
      <c r="G236" s="18">
        <f>8338.31+24658.15+4704.04</f>
        <v>37700.5</v>
      </c>
      <c r="H236" s="18">
        <f>30985.25+12728.52+899.9</f>
        <v>44613.670000000006</v>
      </c>
      <c r="I236" s="18">
        <f>20438.71</f>
        <v>20438.71</v>
      </c>
      <c r="J236" s="18">
        <v>14732.53</v>
      </c>
      <c r="K236" s="18">
        <v>10591.96</v>
      </c>
      <c r="L236" s="19">
        <f>SUM(F236:K236)</f>
        <v>282201.46000000002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112440.34+49726+8193.38+58349.5+0+22920.79</f>
        <v>251630.01</v>
      </c>
      <c r="G238" s="18">
        <f>71519.86+27561.98+1129.53+17593.9+220.76+1859.51</f>
        <v>119885.53999999998</v>
      </c>
      <c r="H238" s="18">
        <f>20884.28+22101.23+609.57+3718+41123.22+2729.69+49164.72</f>
        <v>140330.71</v>
      </c>
      <c r="I238" s="18">
        <f>6944.16+1249.5+249.96</f>
        <v>8443.619999999999</v>
      </c>
      <c r="J238" s="18">
        <v>0</v>
      </c>
      <c r="K238" s="18">
        <v>80</v>
      </c>
      <c r="L238" s="19">
        <f t="shared" ref="L238:L244" si="4">SUM(F238:K238)</f>
        <v>520369.88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86436.9+54639.71</f>
        <v>141076.60999999999</v>
      </c>
      <c r="G239" s="18">
        <f>46769.79+25025.47</f>
        <v>71795.260000000009</v>
      </c>
      <c r="H239" s="18">
        <f>598+1809.85+2044.39+61879.68+14920.81+4755.65+843.11</f>
        <v>86851.489999999991</v>
      </c>
      <c r="I239" s="18">
        <f>19182.61+8492.49+69.74</f>
        <v>27744.84</v>
      </c>
      <c r="J239" s="18">
        <v>20713.919999999998</v>
      </c>
      <c r="K239" s="18">
        <f>9270.24+350</f>
        <v>9620.24</v>
      </c>
      <c r="L239" s="19">
        <f t="shared" si="4"/>
        <v>357802.36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3836.27</v>
      </c>
      <c r="G240" s="18">
        <f>1200.49</f>
        <v>1200.49</v>
      </c>
      <c r="H240" s="18">
        <f>240038.35+3802.91</f>
        <v>243841.26</v>
      </c>
      <c r="I240" s="18">
        <v>672.84</v>
      </c>
      <c r="J240" s="18"/>
      <c r="K240" s="18">
        <v>3171.76</v>
      </c>
      <c r="L240" s="19">
        <f t="shared" si="4"/>
        <v>252722.62000000002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308915.1+7460.36</f>
        <v>316375.45999999996</v>
      </c>
      <c r="G241" s="18">
        <f>120969.8+634.13</f>
        <v>121603.93000000001</v>
      </c>
      <c r="H241" s="18">
        <f>1743.86+75+6335.12</f>
        <v>8153.98</v>
      </c>
      <c r="I241" s="18">
        <v>12807.04</v>
      </c>
      <c r="J241" s="18">
        <f>32.95+181.77</f>
        <v>214.72000000000003</v>
      </c>
      <c r="K241" s="18">
        <v>7960</v>
      </c>
      <c r="L241" s="19">
        <f t="shared" si="4"/>
        <v>467115.12999999989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121839.57+2033.75+17185.35+18366.62</f>
        <v>159425.29</v>
      </c>
      <c r="G243" s="18">
        <f>70682.31+11440.92</f>
        <v>82123.23</v>
      </c>
      <c r="H243" s="18">
        <f>113234.32+24310.69+517.42+910.19</f>
        <v>138972.62000000002</v>
      </c>
      <c r="I243" s="18">
        <f>189435.93+309.57</f>
        <v>189745.5</v>
      </c>
      <c r="J243" s="18">
        <v>4655.8999999999996</v>
      </c>
      <c r="K243" s="18"/>
      <c r="L243" s="19">
        <f t="shared" si="4"/>
        <v>574922.54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119832.53</v>
      </c>
      <c r="G244" s="18">
        <f>2199.75+261.09+26454.56</f>
        <v>28915.4</v>
      </c>
      <c r="H244" s="18">
        <f>101946.86+2105.99+22511.93+3556</f>
        <v>130120.78</v>
      </c>
      <c r="I244" s="18">
        <f>197.63+14714.79</f>
        <v>14912.42</v>
      </c>
      <c r="J244" s="18">
        <f>60450.26+38855.6</f>
        <v>99305.86</v>
      </c>
      <c r="K244" s="18">
        <v>207.28</v>
      </c>
      <c r="L244" s="19">
        <f t="shared" si="4"/>
        <v>393294.26999999996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3030774.7199999997</v>
      </c>
      <c r="G247" s="41">
        <f t="shared" si="5"/>
        <v>1460154.4799999997</v>
      </c>
      <c r="H247" s="41">
        <f t="shared" si="5"/>
        <v>1537998.53</v>
      </c>
      <c r="I247" s="41">
        <f t="shared" si="5"/>
        <v>373886.44</v>
      </c>
      <c r="J247" s="41">
        <f t="shared" si="5"/>
        <v>157555.6</v>
      </c>
      <c r="K247" s="41">
        <f t="shared" si="5"/>
        <v>41384.04</v>
      </c>
      <c r="L247" s="41">
        <f t="shared" si="5"/>
        <v>6601753.8099999996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7120536.8599999994</v>
      </c>
      <c r="G257" s="41">
        <f t="shared" si="8"/>
        <v>3347155.8099999996</v>
      </c>
      <c r="H257" s="41">
        <f t="shared" si="8"/>
        <v>3043003.59</v>
      </c>
      <c r="I257" s="41">
        <f t="shared" si="8"/>
        <v>655724.57000000007</v>
      </c>
      <c r="J257" s="41">
        <f t="shared" si="8"/>
        <v>279774.91000000003</v>
      </c>
      <c r="K257" s="41">
        <f t="shared" si="8"/>
        <v>55227.15</v>
      </c>
      <c r="L257" s="41">
        <f t="shared" si="8"/>
        <v>14501422.889999997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510000</v>
      </c>
      <c r="L260" s="19">
        <f>SUM(F260:K260)</f>
        <v>510000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306650</v>
      </c>
      <c r="L261" s="19">
        <f>SUM(F261:K261)</f>
        <v>306650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2923.95</v>
      </c>
      <c r="L263" s="19">
        <f>SUM(F263:K263)</f>
        <v>2923.95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1000</v>
      </c>
      <c r="L264" s="19">
        <f t="shared" ref="L264:L270" si="9">SUM(F264:K264)</f>
        <v>1000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820573.95</v>
      </c>
      <c r="L270" s="41">
        <f t="shared" si="9"/>
        <v>820573.95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7120536.8599999994</v>
      </c>
      <c r="G271" s="42">
        <f t="shared" si="11"/>
        <v>3347155.8099999996</v>
      </c>
      <c r="H271" s="42">
        <f t="shared" si="11"/>
        <v>3043003.59</v>
      </c>
      <c r="I271" s="42">
        <f t="shared" si="11"/>
        <v>655724.57000000007</v>
      </c>
      <c r="J271" s="42">
        <f t="shared" si="11"/>
        <v>279774.91000000003</v>
      </c>
      <c r="K271" s="42">
        <f t="shared" si="11"/>
        <v>875801.1</v>
      </c>
      <c r="L271" s="42">
        <f t="shared" si="11"/>
        <v>15321996.839999996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211515.2</v>
      </c>
      <c r="G276" s="18">
        <v>117818.19</v>
      </c>
      <c r="H276" s="18">
        <v>18423.95</v>
      </c>
      <c r="I276" s="18">
        <v>14550.52</v>
      </c>
      <c r="J276" s="18">
        <v>2345</v>
      </c>
      <c r="K276" s="18">
        <v>1.68</v>
      </c>
      <c r="L276" s="19">
        <f>SUM(F276:K276)</f>
        <v>364654.54000000004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58282.33</v>
      </c>
      <c r="G277" s="18">
        <v>22250.33</v>
      </c>
      <c r="H277" s="18">
        <v>3512.4</v>
      </c>
      <c r="I277" s="18">
        <v>0</v>
      </c>
      <c r="J277" s="18">
        <v>6598.47</v>
      </c>
      <c r="K277" s="18">
        <v>0</v>
      </c>
      <c r="L277" s="19">
        <f>SUM(F277:K277)</f>
        <v>90643.53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9683.1</v>
      </c>
      <c r="G282" s="18">
        <v>5344.22</v>
      </c>
      <c r="H282" s="18">
        <f>4923.57+0+25635.64</f>
        <v>30559.21</v>
      </c>
      <c r="I282" s="18">
        <v>0</v>
      </c>
      <c r="J282" s="18">
        <v>0</v>
      </c>
      <c r="K282" s="18">
        <v>0</v>
      </c>
      <c r="L282" s="19">
        <f t="shared" si="12"/>
        <v>45586.53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3135.81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3135.81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282616.44</v>
      </c>
      <c r="G290" s="42">
        <f t="shared" si="13"/>
        <v>145412.74000000002</v>
      </c>
      <c r="H290" s="42">
        <f t="shared" si="13"/>
        <v>52495.56</v>
      </c>
      <c r="I290" s="42">
        <f t="shared" si="13"/>
        <v>14550.52</v>
      </c>
      <c r="J290" s="42">
        <f t="shared" si="13"/>
        <v>8943.4700000000012</v>
      </c>
      <c r="K290" s="42">
        <f t="shared" si="13"/>
        <v>1.68</v>
      </c>
      <c r="L290" s="41">
        <f t="shared" si="13"/>
        <v>504020.41000000009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55542</v>
      </c>
      <c r="G295" s="18">
        <v>33147.51</v>
      </c>
      <c r="H295" s="18">
        <v>0</v>
      </c>
      <c r="I295" s="18">
        <v>972.5</v>
      </c>
      <c r="J295" s="18">
        <v>0</v>
      </c>
      <c r="K295" s="18">
        <v>0</v>
      </c>
      <c r="L295" s="19">
        <f>SUM(F295:K295)</f>
        <v>89662.010000000009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16491.47</v>
      </c>
      <c r="G296" s="18">
        <v>6295.92</v>
      </c>
      <c r="H296" s="18">
        <v>0</v>
      </c>
      <c r="I296" s="18">
        <v>0</v>
      </c>
      <c r="J296" s="18">
        <v>1867.09</v>
      </c>
      <c r="K296" s="18">
        <v>0</v>
      </c>
      <c r="L296" s="19">
        <f>SUM(F296:K296)</f>
        <v>24654.48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2739.91</v>
      </c>
      <c r="G301" s="18">
        <v>1512.19</v>
      </c>
      <c r="H301" s="18">
        <f>1336.57+7253.82</f>
        <v>8590.39</v>
      </c>
      <c r="I301" s="18">
        <v>0</v>
      </c>
      <c r="J301" s="18">
        <v>0</v>
      </c>
      <c r="K301" s="18">
        <v>0</v>
      </c>
      <c r="L301" s="19">
        <f t="shared" si="14"/>
        <v>12842.49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887.3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887.3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75660.680000000008</v>
      </c>
      <c r="G309" s="42">
        <f t="shared" si="15"/>
        <v>40955.620000000003</v>
      </c>
      <c r="H309" s="42">
        <f t="shared" si="15"/>
        <v>8590.39</v>
      </c>
      <c r="I309" s="42">
        <f t="shared" si="15"/>
        <v>972.5</v>
      </c>
      <c r="J309" s="42">
        <f t="shared" si="15"/>
        <v>1867.09</v>
      </c>
      <c r="K309" s="42">
        <f t="shared" si="15"/>
        <v>0</v>
      </c>
      <c r="L309" s="41">
        <f t="shared" si="15"/>
        <v>128046.28000000001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41202.36</v>
      </c>
      <c r="G314" s="18">
        <v>3025.46</v>
      </c>
      <c r="H314" s="18">
        <f>93146.61+0+8728.02</f>
        <v>101874.63</v>
      </c>
      <c r="I314" s="18">
        <f>11340.27</f>
        <v>11340.27</v>
      </c>
      <c r="J314" s="18">
        <f>1264.57</f>
        <v>1264.57</v>
      </c>
      <c r="K314" s="18">
        <v>0</v>
      </c>
      <c r="L314" s="19">
        <f>SUM(F314:K314)</f>
        <v>158707.29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36742.550000000003</v>
      </c>
      <c r="G315" s="18">
        <v>14027.13</v>
      </c>
      <c r="H315" s="18">
        <v>0</v>
      </c>
      <c r="I315" s="18">
        <v>0</v>
      </c>
      <c r="J315" s="18">
        <v>4159.83</v>
      </c>
      <c r="K315" s="18">
        <v>0</v>
      </c>
      <c r="L315" s="19">
        <f>SUM(F315:K315)</f>
        <v>54929.51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4700</f>
        <v>4700</v>
      </c>
      <c r="G316" s="18">
        <f>1311.88</f>
        <v>1311.88</v>
      </c>
      <c r="H316" s="18">
        <f>11534.12+0+10666.72</f>
        <v>22200.84</v>
      </c>
      <c r="I316" s="18">
        <f>25327.86</f>
        <v>25327.86</v>
      </c>
      <c r="J316" s="18">
        <f>11298.49</f>
        <v>11298.49</v>
      </c>
      <c r="K316" s="18">
        <f>1339.82</f>
        <v>1339.82</v>
      </c>
      <c r="L316" s="19">
        <f>SUM(F316:K316)</f>
        <v>66178.89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615.57000000000005</v>
      </c>
      <c r="K317" s="18"/>
      <c r="L317" s="19">
        <f>SUM(F317:K317)</f>
        <v>615.57000000000005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2074+5996.01</f>
        <v>8070.01</v>
      </c>
      <c r="I319" s="18">
        <f>605.88</f>
        <v>605.88</v>
      </c>
      <c r="J319" s="18"/>
      <c r="K319" s="18"/>
      <c r="L319" s="19">
        <f t="shared" ref="L319:L325" si="16">SUM(F319:K319)</f>
        <v>8675.89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6104.45</v>
      </c>
      <c r="G320" s="18">
        <v>3369.12</v>
      </c>
      <c r="H320" s="18">
        <f>2977.85+16161.31</f>
        <v>19139.16</v>
      </c>
      <c r="I320" s="18">
        <v>1083.3900000000001</v>
      </c>
      <c r="J320" s="18"/>
      <c r="K320" s="18"/>
      <c r="L320" s="19">
        <f t="shared" si="16"/>
        <v>29696.12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1976.89</v>
      </c>
      <c r="G321" s="18"/>
      <c r="H321" s="18">
        <f>7878.91+621.66</f>
        <v>8500.57</v>
      </c>
      <c r="I321" s="18"/>
      <c r="J321" s="18"/>
      <c r="K321" s="18"/>
      <c r="L321" s="19">
        <f t="shared" si="16"/>
        <v>10477.459999999999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2438.19</v>
      </c>
      <c r="I322" s="18"/>
      <c r="J322" s="18"/>
      <c r="K322" s="18"/>
      <c r="L322" s="19">
        <f t="shared" si="16"/>
        <v>2438.19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90726.25</v>
      </c>
      <c r="G328" s="42">
        <f t="shared" si="17"/>
        <v>21733.59</v>
      </c>
      <c r="H328" s="42">
        <f t="shared" si="17"/>
        <v>162223.40000000002</v>
      </c>
      <c r="I328" s="42">
        <f t="shared" si="17"/>
        <v>38357.4</v>
      </c>
      <c r="J328" s="42">
        <f t="shared" si="17"/>
        <v>17338.46</v>
      </c>
      <c r="K328" s="42">
        <f t="shared" si="17"/>
        <v>1339.82</v>
      </c>
      <c r="L328" s="41">
        <f t="shared" si="17"/>
        <v>331718.92000000004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449003.37</v>
      </c>
      <c r="G338" s="41">
        <f t="shared" si="20"/>
        <v>208101.95</v>
      </c>
      <c r="H338" s="41">
        <f t="shared" si="20"/>
        <v>223309.35000000003</v>
      </c>
      <c r="I338" s="41">
        <f t="shared" si="20"/>
        <v>53880.42</v>
      </c>
      <c r="J338" s="41">
        <f t="shared" si="20"/>
        <v>28149.02</v>
      </c>
      <c r="K338" s="41">
        <f t="shared" si="20"/>
        <v>1341.5</v>
      </c>
      <c r="L338" s="41">
        <f t="shared" si="20"/>
        <v>963785.6100000001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449003.37</v>
      </c>
      <c r="G352" s="41">
        <f>G338</f>
        <v>208101.95</v>
      </c>
      <c r="H352" s="41">
        <f>H338</f>
        <v>223309.35000000003</v>
      </c>
      <c r="I352" s="41">
        <f>I338</f>
        <v>53880.42</v>
      </c>
      <c r="J352" s="41">
        <f>J338</f>
        <v>28149.02</v>
      </c>
      <c r="K352" s="47">
        <f>K338+K351</f>
        <v>1341.5</v>
      </c>
      <c r="L352" s="41">
        <f>L338+L351</f>
        <v>963785.6100000001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198405.5+2484.54+7239.75</f>
        <v>208129.79</v>
      </c>
      <c r="I358" s="18">
        <f>9002.42+2029.13</f>
        <v>11031.55</v>
      </c>
      <c r="J358" s="18">
        <f>98.52</f>
        <v>98.52</v>
      </c>
      <c r="K358" s="18"/>
      <c r="L358" s="13">
        <f>SUM(F358:K358)</f>
        <v>219259.86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56140.51+703.02</f>
        <v>56843.53</v>
      </c>
      <c r="I359" s="18">
        <v>2547.31</v>
      </c>
      <c r="J359" s="18"/>
      <c r="K359" s="18"/>
      <c r="L359" s="19">
        <f>SUM(F359:K359)</f>
        <v>59390.84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125079.49+1566.31</f>
        <v>126645.8</v>
      </c>
      <c r="I360" s="18">
        <v>5675.34</v>
      </c>
      <c r="J360" s="18"/>
      <c r="K360" s="18"/>
      <c r="L360" s="19">
        <f>SUM(F360:K360)</f>
        <v>132321.14000000001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391619.12</v>
      </c>
      <c r="I362" s="47">
        <f t="shared" si="22"/>
        <v>19254.199999999997</v>
      </c>
      <c r="J362" s="47">
        <f t="shared" si="22"/>
        <v>98.52</v>
      </c>
      <c r="K362" s="47">
        <f t="shared" si="22"/>
        <v>0</v>
      </c>
      <c r="L362" s="47">
        <f t="shared" si="22"/>
        <v>410971.83999999997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9002.42</v>
      </c>
      <c r="G367" s="18">
        <v>2547.31</v>
      </c>
      <c r="H367" s="18">
        <v>5675.34</v>
      </c>
      <c r="I367" s="56">
        <f>SUM(F367:H367)</f>
        <v>17225.07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2029.13</v>
      </c>
      <c r="G368" s="63">
        <v>0</v>
      </c>
      <c r="H368" s="63">
        <v>0</v>
      </c>
      <c r="I368" s="56">
        <f>SUM(F368:H368)</f>
        <v>2029.13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11031.55</v>
      </c>
      <c r="G369" s="47">
        <f>SUM(G367:G368)</f>
        <v>2547.31</v>
      </c>
      <c r="H369" s="47">
        <f>SUM(H367:H368)</f>
        <v>5675.34</v>
      </c>
      <c r="I369" s="47">
        <f>SUM(I367:I368)</f>
        <v>19254.2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f>86.98</f>
        <v>86.98</v>
      </c>
      <c r="I389" s="18"/>
      <c r="J389" s="24" t="s">
        <v>289</v>
      </c>
      <c r="K389" s="24" t="s">
        <v>289</v>
      </c>
      <c r="L389" s="56">
        <f t="shared" si="25"/>
        <v>86.98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914.49</v>
      </c>
      <c r="I390" s="18"/>
      <c r="J390" s="24" t="s">
        <v>289</v>
      </c>
      <c r="K390" s="24" t="s">
        <v>289</v>
      </c>
      <c r="L390" s="56">
        <f t="shared" si="25"/>
        <v>914.49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54.11</v>
      </c>
      <c r="I391" s="18"/>
      <c r="J391" s="24" t="s">
        <v>289</v>
      </c>
      <c r="K391" s="24" t="s">
        <v>289</v>
      </c>
      <c r="L391" s="56">
        <f t="shared" si="25"/>
        <v>54.11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f>136.7</f>
        <v>136.69999999999999</v>
      </c>
      <c r="I392" s="18"/>
      <c r="J392" s="24" t="s">
        <v>289</v>
      </c>
      <c r="K392" s="24" t="s">
        <v>289</v>
      </c>
      <c r="L392" s="56">
        <f t="shared" si="25"/>
        <v>136.69999999999999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1192.28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1192.28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255.37</v>
      </c>
      <c r="I397" s="18"/>
      <c r="J397" s="24" t="s">
        <v>289</v>
      </c>
      <c r="K397" s="24" t="s">
        <v>289</v>
      </c>
      <c r="L397" s="56">
        <f t="shared" si="26"/>
        <v>255.37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255.37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255.37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1447.65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1447.65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170276</v>
      </c>
      <c r="L416" s="56">
        <f t="shared" si="27"/>
        <v>170276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170276</v>
      </c>
      <c r="L419" s="47">
        <f t="shared" si="28"/>
        <v>170276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170276</v>
      </c>
      <c r="L434" s="47">
        <f t="shared" si="32"/>
        <v>170276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41016.82+65020.73+0+85125.65+261770.18+20089.4+7906.67</f>
        <v>480929.45</v>
      </c>
      <c r="G439" s="18"/>
      <c r="H439" s="18"/>
      <c r="I439" s="56">
        <f t="shared" ref="I439:I445" si="33">SUM(F439:H439)</f>
        <v>480929.45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480929.45</v>
      </c>
      <c r="G446" s="13">
        <f>SUM(G439:G445)</f>
        <v>0</v>
      </c>
      <c r="H446" s="13">
        <f>SUM(H439:H445)</f>
        <v>0</v>
      </c>
      <c r="I446" s="13">
        <f>SUM(I439:I445)</f>
        <v>480929.45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170276</v>
      </c>
      <c r="G448" s="18"/>
      <c r="H448" s="18"/>
      <c r="I448" s="56">
        <f>SUM(F448:H448)</f>
        <v>170276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170276</v>
      </c>
      <c r="G452" s="72">
        <f>SUM(G448:G451)</f>
        <v>0</v>
      </c>
      <c r="H452" s="72">
        <f>SUM(H448:H451)</f>
        <v>0</v>
      </c>
      <c r="I452" s="72">
        <f>SUM(I448:I451)</f>
        <v>170276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480929.45-170276</f>
        <v>310653.45</v>
      </c>
      <c r="G459" s="18"/>
      <c r="H459" s="18"/>
      <c r="I459" s="56">
        <f t="shared" si="34"/>
        <v>310653.45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310653.45</v>
      </c>
      <c r="G460" s="83">
        <f>SUM(G454:G459)</f>
        <v>0</v>
      </c>
      <c r="H460" s="83">
        <f>SUM(H454:H459)</f>
        <v>0</v>
      </c>
      <c r="I460" s="83">
        <f>SUM(I454:I459)</f>
        <v>310653.45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480929.45</v>
      </c>
      <c r="G461" s="42">
        <f>G452+G460</f>
        <v>0</v>
      </c>
      <c r="H461" s="42">
        <f>H452+H460</f>
        <v>0</v>
      </c>
      <c r="I461" s="42">
        <f>I452+I460</f>
        <v>480929.45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307821.57-0.01</f>
        <v>307821.56</v>
      </c>
      <c r="G465" s="18">
        <v>4042.6</v>
      </c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15910506.18</v>
      </c>
      <c r="G468" s="18">
        <v>408429.24</v>
      </c>
      <c r="H468" s="18">
        <v>963785.61</v>
      </c>
      <c r="I468" s="18"/>
      <c r="J468" s="18">
        <v>1447.65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f>480929.45-1447.65</f>
        <v>479481.8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15910506.18</v>
      </c>
      <c r="G470" s="53">
        <f>SUM(G468:G469)</f>
        <v>408429.24</v>
      </c>
      <c r="H470" s="53">
        <f>SUM(H468:H469)</f>
        <v>963785.61</v>
      </c>
      <c r="I470" s="53">
        <f>SUM(I468:I469)</f>
        <v>0</v>
      </c>
      <c r="J470" s="53">
        <f>SUM(J468:J469)</f>
        <v>480929.45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15321996.84</f>
        <v>15321996.84</v>
      </c>
      <c r="G472" s="18">
        <f>410873.32+98.52</f>
        <v>410971.84</v>
      </c>
      <c r="H472" s="18">
        <v>963785.61</v>
      </c>
      <c r="I472" s="18"/>
      <c r="J472" s="18">
        <v>170276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15321996.84</v>
      </c>
      <c r="G474" s="53">
        <f>SUM(G472:G473)</f>
        <v>410971.84</v>
      </c>
      <c r="H474" s="53">
        <f>SUM(H472:H473)</f>
        <v>963785.61</v>
      </c>
      <c r="I474" s="53">
        <f>SUM(I472:I473)</f>
        <v>0</v>
      </c>
      <c r="J474" s="53">
        <f>SUM(J472:J473)</f>
        <v>170276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896330.90000000037</v>
      </c>
      <c r="G476" s="53">
        <f>(G465+G470)- G474</f>
        <v>1499.9999999999418</v>
      </c>
      <c r="H476" s="53">
        <f>(H465+H470)- H474</f>
        <v>0</v>
      </c>
      <c r="I476" s="53">
        <f>(I465+I470)- I474</f>
        <v>0</v>
      </c>
      <c r="J476" s="53">
        <f>(J465+J470)- J474</f>
        <v>310653.45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10156100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6590000</v>
      </c>
      <c r="G495" s="18"/>
      <c r="H495" s="18"/>
      <c r="I495" s="18"/>
      <c r="J495" s="18"/>
      <c r="K495" s="53">
        <f>SUM(F495:J495)</f>
        <v>6590000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K260</f>
        <v>510000</v>
      </c>
      <c r="G497" s="18"/>
      <c r="H497" s="18"/>
      <c r="I497" s="18"/>
      <c r="J497" s="18"/>
      <c r="K497" s="53">
        <f t="shared" si="35"/>
        <v>510000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F495-510000</f>
        <v>6080000</v>
      </c>
      <c r="G498" s="204"/>
      <c r="H498" s="204"/>
      <c r="I498" s="204"/>
      <c r="J498" s="204"/>
      <c r="K498" s="205">
        <f t="shared" si="35"/>
        <v>6080000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1447602-306650</f>
        <v>1140952</v>
      </c>
      <c r="G499" s="18"/>
      <c r="H499" s="18"/>
      <c r="I499" s="18"/>
      <c r="J499" s="18"/>
      <c r="K499" s="53">
        <f t="shared" si="35"/>
        <v>1140952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7220952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7220952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281150</v>
      </c>
      <c r="G502" s="18"/>
      <c r="H502" s="18"/>
      <c r="I502" s="18"/>
      <c r="J502" s="18"/>
      <c r="K502" s="53">
        <f t="shared" si="35"/>
        <v>281150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791150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791150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606669.97+13483.98+58282.33-4984.6</f>
        <v>673451.67999999993</v>
      </c>
      <c r="G521" s="18">
        <f>174232.53+8535.58+22250.33-641.18</f>
        <v>204377.26</v>
      </c>
      <c r="H521" s="18">
        <f>5035.17+24819.43+260232.91+865.84+479.47-479.47</f>
        <v>290953.35000000003</v>
      </c>
      <c r="I521" s="18">
        <f>1673.78+377.34+14127.67-722</f>
        <v>15456.79</v>
      </c>
      <c r="J521" s="18">
        <f>327.5+3695.87</f>
        <v>4023.37</v>
      </c>
      <c r="K521" s="18">
        <v>3560.15</v>
      </c>
      <c r="L521" s="88">
        <f>SUM(F521:K521)</f>
        <v>1191822.6000000001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116312.57+3815.41+16491.47</f>
        <v>136619.45000000001</v>
      </c>
      <c r="G522" s="18">
        <f>42739.15+2415.21+6295.92</f>
        <v>51450.28</v>
      </c>
      <c r="H522" s="18">
        <f>7022.87+100649.11+245+135.67-2483.9</f>
        <v>105568.75</v>
      </c>
      <c r="I522" s="18">
        <f>2163.51+106.77</f>
        <v>2270.2800000000002</v>
      </c>
      <c r="J522" s="18">
        <f>1535.51+1045.78</f>
        <v>2581.29</v>
      </c>
      <c r="K522" s="18">
        <v>1007.37</v>
      </c>
      <c r="L522" s="88">
        <f>SUM(F522:K522)</f>
        <v>299497.42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487231.23+8500.62+36742.55</f>
        <v>532474.4</v>
      </c>
      <c r="G523" s="18">
        <f>240342.32+5381.03+14027.13</f>
        <v>259750.48</v>
      </c>
      <c r="H523" s="18">
        <f>1200+15646.75+703076.08+545.85+302.27-5533.77</f>
        <v>715237.17999999993</v>
      </c>
      <c r="I523" s="18">
        <f>1424.32+237.89</f>
        <v>1662.21</v>
      </c>
      <c r="J523" s="18">
        <f>2329.96</f>
        <v>2329.96</v>
      </c>
      <c r="K523" s="18">
        <v>2244.4</v>
      </c>
      <c r="L523" s="88">
        <f>SUM(F523:K523)</f>
        <v>1513698.63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1342545.5299999998</v>
      </c>
      <c r="G524" s="108">
        <f t="shared" ref="G524:L524" si="36">SUM(G521:G523)</f>
        <v>515578.02</v>
      </c>
      <c r="H524" s="108">
        <f t="shared" si="36"/>
        <v>1111759.28</v>
      </c>
      <c r="I524" s="108">
        <f t="shared" si="36"/>
        <v>19389.28</v>
      </c>
      <c r="J524" s="108">
        <f t="shared" si="36"/>
        <v>8934.619999999999</v>
      </c>
      <c r="K524" s="108">
        <f t="shared" si="36"/>
        <v>6811.92</v>
      </c>
      <c r="L524" s="89">
        <f t="shared" si="36"/>
        <v>3005018.65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36697.2+154230.06+78858.93+36357.76</f>
        <v>306143.95</v>
      </c>
      <c r="G526" s="18">
        <f>13682.03+90485.84+39803.92+2979.56</f>
        <v>146951.34999999998</v>
      </c>
      <c r="H526" s="18">
        <f>1490.83+57889.05+103.4+50802.38+2676.23</f>
        <v>112961.89</v>
      </c>
      <c r="I526" s="18">
        <f>1774.37+143.36+396.49</f>
        <v>2314.2200000000003</v>
      </c>
      <c r="J526" s="18"/>
      <c r="K526" s="18"/>
      <c r="L526" s="88">
        <f>SUM(F526:K526)</f>
        <v>568371.40999999992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69131.12+10287.73</f>
        <v>79418.849999999991</v>
      </c>
      <c r="G527" s="18">
        <f>2289.21+843.09</f>
        <v>3132.3</v>
      </c>
      <c r="H527" s="18">
        <f>1156.38+2158.18+3867.75+14374.96</f>
        <v>21557.269999999997</v>
      </c>
      <c r="I527" s="18">
        <v>112.19</v>
      </c>
      <c r="J527" s="18"/>
      <c r="K527" s="18"/>
      <c r="L527" s="88">
        <f>SUM(F527:K527)</f>
        <v>104220.60999999999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228709.22+22920.79</f>
        <v>251630.01</v>
      </c>
      <c r="G528" s="18">
        <f>1129.53+17593.9+1878.39</f>
        <v>20601.82</v>
      </c>
      <c r="H528" s="18">
        <f>22101.23+609.57+3718+41123.22+32027.01</f>
        <v>99579.03</v>
      </c>
      <c r="I528" s="18">
        <f>1249.5+249.96</f>
        <v>1499.46</v>
      </c>
      <c r="J528" s="18"/>
      <c r="K528" s="18"/>
      <c r="L528" s="88">
        <f>SUM(F528:K528)</f>
        <v>373310.32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637192.81000000006</v>
      </c>
      <c r="G529" s="89">
        <f t="shared" ref="G529:L529" si="37">SUM(G526:G528)</f>
        <v>170685.46999999997</v>
      </c>
      <c r="H529" s="89">
        <f t="shared" si="37"/>
        <v>234098.19</v>
      </c>
      <c r="I529" s="89">
        <f t="shared" si="37"/>
        <v>3925.8700000000003</v>
      </c>
      <c r="J529" s="89">
        <f t="shared" si="37"/>
        <v>0</v>
      </c>
      <c r="K529" s="89">
        <f t="shared" si="37"/>
        <v>0</v>
      </c>
      <c r="L529" s="89">
        <f t="shared" si="37"/>
        <v>1045902.3399999999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78785.47*0.9</f>
        <v>70906.92300000001</v>
      </c>
      <c r="I531" s="18"/>
      <c r="J531" s="18"/>
      <c r="K531" s="18"/>
      <c r="L531" s="88">
        <f>SUM(F531:K531)</f>
        <v>70906.92300000001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f>22293.01*0.9</f>
        <v>20063.708999999999</v>
      </c>
      <c r="I532" s="18"/>
      <c r="J532" s="18"/>
      <c r="K532" s="18"/>
      <c r="L532" s="88">
        <f>SUM(F532:K532)</f>
        <v>20063.708999999999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f>49668.21*0.9</f>
        <v>44701.389000000003</v>
      </c>
      <c r="I533" s="18"/>
      <c r="J533" s="18"/>
      <c r="K533" s="18"/>
      <c r="L533" s="88">
        <f>SUM(F533:K533)</f>
        <v>44701.389000000003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135672.02100000001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135672.02100000001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104+260.59+78+2985.41</f>
        <v>3428</v>
      </c>
      <c r="I537" s="18"/>
      <c r="J537" s="18"/>
      <c r="K537" s="18"/>
      <c r="L537" s="88">
        <f>SUM(F537:K537)</f>
        <v>3428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3428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3428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32545.62</v>
      </c>
      <c r="G541" s="18">
        <v>12390.35</v>
      </c>
      <c r="H541" s="18">
        <f>28675+52716.97+40.77+5874.4+1100.15</f>
        <v>88407.29</v>
      </c>
      <c r="I541" s="18">
        <v>7011.97</v>
      </c>
      <c r="J541" s="18"/>
      <c r="K541" s="18"/>
      <c r="L541" s="88">
        <f>SUM(F541:K541)</f>
        <v>140355.23000000001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9209.06</v>
      </c>
      <c r="G542" s="18">
        <v>3505.96</v>
      </c>
      <c r="H542" s="18">
        <f>8550+11.53+1662.21+311.2</f>
        <v>10534.940000000002</v>
      </c>
      <c r="I542" s="18">
        <v>1984.1</v>
      </c>
      <c r="J542" s="18"/>
      <c r="K542" s="18"/>
      <c r="L542" s="88">
        <f>SUM(F542:K542)</f>
        <v>25234.06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20517.53</v>
      </c>
      <c r="G543" s="18">
        <v>7811.17</v>
      </c>
      <c r="H543" s="18">
        <f>101946.86+25.7+3703.36+693.56</f>
        <v>106369.48</v>
      </c>
      <c r="I543" s="18">
        <f>197.63+4420.51</f>
        <v>4618.1400000000003</v>
      </c>
      <c r="J543" s="18"/>
      <c r="K543" s="18"/>
      <c r="L543" s="88">
        <f>SUM(F543:K543)</f>
        <v>139316.32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62272.21</v>
      </c>
      <c r="G544" s="193">
        <f t="shared" ref="G544:L544" si="40">SUM(G541:G543)</f>
        <v>23707.480000000003</v>
      </c>
      <c r="H544" s="193">
        <f t="shared" si="40"/>
        <v>205311.71</v>
      </c>
      <c r="I544" s="193">
        <f t="shared" si="40"/>
        <v>13614.21</v>
      </c>
      <c r="J544" s="193">
        <f t="shared" si="40"/>
        <v>0</v>
      </c>
      <c r="K544" s="193">
        <f t="shared" si="40"/>
        <v>0</v>
      </c>
      <c r="L544" s="193">
        <f t="shared" si="40"/>
        <v>304905.61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2042010.5499999998</v>
      </c>
      <c r="G545" s="89">
        <f t="shared" ref="G545:L545" si="41">G524+G529+G534+G539+G544</f>
        <v>709970.97</v>
      </c>
      <c r="H545" s="89">
        <f t="shared" si="41"/>
        <v>1690269.2009999999</v>
      </c>
      <c r="I545" s="89">
        <f t="shared" si="41"/>
        <v>36929.360000000001</v>
      </c>
      <c r="J545" s="89">
        <f t="shared" si="41"/>
        <v>8934.619999999999</v>
      </c>
      <c r="K545" s="89">
        <f t="shared" si="41"/>
        <v>6811.92</v>
      </c>
      <c r="L545" s="89">
        <f t="shared" si="41"/>
        <v>4494926.6210000003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1191822.6000000001</v>
      </c>
      <c r="G549" s="87">
        <f>L526</f>
        <v>568371.40999999992</v>
      </c>
      <c r="H549" s="87">
        <f>L531</f>
        <v>70906.92300000001</v>
      </c>
      <c r="I549" s="87">
        <f>L536</f>
        <v>0</v>
      </c>
      <c r="J549" s="87">
        <f>L541</f>
        <v>140355.23000000001</v>
      </c>
      <c r="K549" s="87">
        <f>SUM(F549:J549)</f>
        <v>1971456.1629999999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299497.42</v>
      </c>
      <c r="G550" s="87">
        <f>L527</f>
        <v>104220.60999999999</v>
      </c>
      <c r="H550" s="87">
        <f>L532</f>
        <v>20063.708999999999</v>
      </c>
      <c r="I550" s="87">
        <f>L537</f>
        <v>3428</v>
      </c>
      <c r="J550" s="87">
        <f>L542</f>
        <v>25234.06</v>
      </c>
      <c r="K550" s="87">
        <f>SUM(F550:J550)</f>
        <v>452443.79899999994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1513698.63</v>
      </c>
      <c r="G551" s="87">
        <f>L528</f>
        <v>373310.32</v>
      </c>
      <c r="H551" s="87">
        <f>L533</f>
        <v>44701.389000000003</v>
      </c>
      <c r="I551" s="87">
        <f>L538</f>
        <v>0</v>
      </c>
      <c r="J551" s="87">
        <f>L543</f>
        <v>139316.32</v>
      </c>
      <c r="K551" s="87">
        <f>SUM(F551:J551)</f>
        <v>2071026.659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3005018.65</v>
      </c>
      <c r="G552" s="89">
        <f t="shared" si="42"/>
        <v>1045902.3399999999</v>
      </c>
      <c r="H552" s="89">
        <f t="shared" si="42"/>
        <v>135672.02100000001</v>
      </c>
      <c r="I552" s="89">
        <f t="shared" si="42"/>
        <v>3428</v>
      </c>
      <c r="J552" s="89">
        <f t="shared" si="42"/>
        <v>304905.61</v>
      </c>
      <c r="K552" s="89">
        <f t="shared" si="42"/>
        <v>4494926.6209999993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>
        <v>3.59</v>
      </c>
      <c r="H562" s="18">
        <v>4750.49</v>
      </c>
      <c r="I562" s="18"/>
      <c r="J562" s="18"/>
      <c r="K562" s="18"/>
      <c r="L562" s="88">
        <f>SUM(F562:K562)</f>
        <v>4754.08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>
        <v>1.01</v>
      </c>
      <c r="H563" s="18">
        <v>1344.19</v>
      </c>
      <c r="I563" s="18"/>
      <c r="J563" s="18"/>
      <c r="K563" s="18"/>
      <c r="L563" s="88">
        <f>SUM(F563:K563)</f>
        <v>1345.2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>
        <v>2.2599999999999998</v>
      </c>
      <c r="H564" s="18">
        <v>2994.82</v>
      </c>
      <c r="I564" s="18"/>
      <c r="J564" s="18"/>
      <c r="K564" s="18"/>
      <c r="L564" s="88">
        <f>SUM(F564:K564)</f>
        <v>2997.0800000000004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6.8599999999999994</v>
      </c>
      <c r="H565" s="89">
        <f t="shared" si="44"/>
        <v>9089.5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9096.36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3000+250+1734.6</f>
        <v>4984.6000000000004</v>
      </c>
      <c r="G567" s="18">
        <f>378.96+235.05+27.17</f>
        <v>641.17999999999995</v>
      </c>
      <c r="H567" s="18">
        <f>(16794.46*0.5226)+929.42</f>
        <v>9706.2047959999982</v>
      </c>
      <c r="I567" s="18">
        <v>722</v>
      </c>
      <c r="J567" s="18"/>
      <c r="K567" s="18"/>
      <c r="L567" s="88">
        <f>SUM(F567:K567)</f>
        <v>16053.984795999999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>
        <f>16794.46*0.1479</f>
        <v>2483.9006340000001</v>
      </c>
      <c r="I568" s="18"/>
      <c r="J568" s="18"/>
      <c r="K568" s="18"/>
      <c r="L568" s="88">
        <f>SUM(F568:K568)</f>
        <v>2483.9006340000001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>
        <f>16794.46*0.3295</f>
        <v>5533.7745699999996</v>
      </c>
      <c r="I569" s="18"/>
      <c r="J569" s="18"/>
      <c r="K569" s="18"/>
      <c r="L569" s="88">
        <f>SUM(F569:K569)</f>
        <v>5533.7745699999996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4984.6000000000004</v>
      </c>
      <c r="G570" s="193">
        <f t="shared" ref="G570:L570" si="45">SUM(G567:G569)</f>
        <v>641.17999999999995</v>
      </c>
      <c r="H570" s="193">
        <f t="shared" si="45"/>
        <v>17723.879999999997</v>
      </c>
      <c r="I570" s="193">
        <f t="shared" si="45"/>
        <v>722</v>
      </c>
      <c r="J570" s="193">
        <f t="shared" si="45"/>
        <v>0</v>
      </c>
      <c r="K570" s="193">
        <f t="shared" si="45"/>
        <v>0</v>
      </c>
      <c r="L570" s="193">
        <f t="shared" si="45"/>
        <v>24071.659999999996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4984.6000000000004</v>
      </c>
      <c r="G571" s="89">
        <f t="shared" ref="G571:L571" si="46">G560+G565+G570</f>
        <v>648.04</v>
      </c>
      <c r="H571" s="89">
        <f t="shared" si="46"/>
        <v>26813.379999999997</v>
      </c>
      <c r="I571" s="89">
        <f t="shared" si="46"/>
        <v>722</v>
      </c>
      <c r="J571" s="89">
        <f t="shared" si="46"/>
        <v>0</v>
      </c>
      <c r="K571" s="89">
        <f t="shared" si="46"/>
        <v>0</v>
      </c>
      <c r="L571" s="89">
        <f t="shared" si="46"/>
        <v>33168.019999999997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2755.07</v>
      </c>
      <c r="I578" s="87">
        <f t="shared" si="47"/>
        <v>2755.07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101443.83+7699.77</f>
        <v>109143.6</v>
      </c>
      <c r="G579" s="18">
        <f>77302.75</f>
        <v>77302.75</v>
      </c>
      <c r="H579" s="18">
        <f>245104.77</f>
        <v>245104.77</v>
      </c>
      <c r="I579" s="87">
        <f t="shared" si="47"/>
        <v>431551.12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122377.92+28648.72</f>
        <v>151026.64000000001</v>
      </c>
      <c r="G582" s="18">
        <f>23346.36</f>
        <v>23346.36</v>
      </c>
      <c r="H582" s="18">
        <f>457971.31</f>
        <v>457971.31</v>
      </c>
      <c r="I582" s="87">
        <f t="shared" si="47"/>
        <v>632344.31000000006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3822.64+2200</f>
        <v>6022.6399999999994</v>
      </c>
      <c r="I584" s="87">
        <f t="shared" si="47"/>
        <v>6022.6399999999994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312931.56</v>
      </c>
      <c r="I591" s="18">
        <v>75221.31</v>
      </c>
      <c r="J591" s="18">
        <v>228298.36</v>
      </c>
      <c r="K591" s="104">
        <f t="shared" ref="K591:K597" si="48">SUM(H591:J591)</f>
        <v>616451.23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140355.23000000001</v>
      </c>
      <c r="I592" s="18">
        <v>25234.06</v>
      </c>
      <c r="J592" s="18">
        <v>139316.32</v>
      </c>
      <c r="K592" s="104">
        <f t="shared" si="48"/>
        <v>304905.61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1999.65</v>
      </c>
      <c r="K593" s="104">
        <f t="shared" si="48"/>
        <v>1999.65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3747.38</v>
      </c>
      <c r="J594" s="18">
        <v>21385.1</v>
      </c>
      <c r="K594" s="104">
        <f t="shared" si="48"/>
        <v>25132.48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5739.52</v>
      </c>
      <c r="I595" s="18">
        <v>703.51</v>
      </c>
      <c r="J595" s="18">
        <v>2294.84</v>
      </c>
      <c r="K595" s="104">
        <f t="shared" si="48"/>
        <v>8737.8700000000008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1659.57</v>
      </c>
      <c r="I596" s="18"/>
      <c r="J596" s="18"/>
      <c r="K596" s="104">
        <f t="shared" si="48"/>
        <v>1659.57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460685.88000000006</v>
      </c>
      <c r="I598" s="108">
        <f>SUM(I591:I597)</f>
        <v>104906.26</v>
      </c>
      <c r="J598" s="108">
        <f>SUM(J591:J597)</f>
        <v>393294.27</v>
      </c>
      <c r="K598" s="108">
        <f>SUM(K591:K597)</f>
        <v>958886.40999999992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160643.97-0.1</f>
        <v>160643.87</v>
      </c>
      <c r="I604" s="18">
        <v>33317.379999999997</v>
      </c>
      <c r="J604" s="18">
        <v>113962.68</v>
      </c>
      <c r="K604" s="104">
        <f>SUM(H604:J604)</f>
        <v>307923.93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160643.87</v>
      </c>
      <c r="I605" s="108">
        <f>SUM(I602:I604)</f>
        <v>33317.379999999997</v>
      </c>
      <c r="J605" s="108">
        <f>SUM(J602:J604)</f>
        <v>113962.68</v>
      </c>
      <c r="K605" s="108">
        <f>SUM(K602:K604)</f>
        <v>307923.93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18952.5+487.5</f>
        <v>19440</v>
      </c>
      <c r="G611" s="18">
        <f>1487.21+2330.59+106.55</f>
        <v>3924.3500000000004</v>
      </c>
      <c r="H611" s="18"/>
      <c r="I611" s="18">
        <v>516.41</v>
      </c>
      <c r="J611" s="18"/>
      <c r="K611" s="18"/>
      <c r="L611" s="88">
        <f>SUM(F611:K611)</f>
        <v>23880.76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12540+2580</f>
        <v>15120</v>
      </c>
      <c r="G612" s="18">
        <f>1156.74+1596.7+82.38</f>
        <v>2835.82</v>
      </c>
      <c r="H612" s="18"/>
      <c r="I612" s="18"/>
      <c r="J612" s="18"/>
      <c r="K612" s="18"/>
      <c r="L612" s="88">
        <f>SUM(F612:K612)</f>
        <v>17955.82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19807.5+900</f>
        <v>20707.5</v>
      </c>
      <c r="G613" s="18">
        <f>1584.22+3007+112.82</f>
        <v>4704.04</v>
      </c>
      <c r="H613" s="18"/>
      <c r="I613" s="18"/>
      <c r="J613" s="18"/>
      <c r="K613" s="18"/>
      <c r="L613" s="88">
        <f>SUM(F613:K613)</f>
        <v>25411.54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55267.5</v>
      </c>
      <c r="G614" s="108">
        <f t="shared" si="49"/>
        <v>11464.21</v>
      </c>
      <c r="H614" s="108">
        <f t="shared" si="49"/>
        <v>0</v>
      </c>
      <c r="I614" s="108">
        <f t="shared" si="49"/>
        <v>516.41</v>
      </c>
      <c r="J614" s="108">
        <f t="shared" si="49"/>
        <v>0</v>
      </c>
      <c r="K614" s="108">
        <f t="shared" si="49"/>
        <v>0</v>
      </c>
      <c r="L614" s="89">
        <f t="shared" si="49"/>
        <v>67248.12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1109003.46</v>
      </c>
      <c r="H617" s="109">
        <f>SUM(F52)</f>
        <v>1109003.46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17031.21</v>
      </c>
      <c r="H618" s="109">
        <f>SUM(G52)</f>
        <v>17031.21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29630.899999999994</v>
      </c>
      <c r="H619" s="109">
        <f>SUM(H52)</f>
        <v>29630.9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480929.45</v>
      </c>
      <c r="H621" s="109">
        <f>SUM(J52)</f>
        <v>480929.45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896330.89999999991</v>
      </c>
      <c r="H622" s="109">
        <f>F476</f>
        <v>896330.90000000037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1500</v>
      </c>
      <c r="H623" s="109">
        <f>G476</f>
        <v>1499.9999999999418</v>
      </c>
      <c r="I623" s="121" t="s">
        <v>102</v>
      </c>
      <c r="J623" s="109">
        <f t="shared" si="50"/>
        <v>5.8207660913467407E-11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310653.45</v>
      </c>
      <c r="H626" s="109">
        <f>J476</f>
        <v>310653.45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15910506.18</v>
      </c>
      <c r="H627" s="104">
        <f>SUM(F468)</f>
        <v>15910506.18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408429.24</v>
      </c>
      <c r="H628" s="104">
        <f>SUM(G468)</f>
        <v>408429.24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963785.6100000001</v>
      </c>
      <c r="H629" s="104">
        <f>SUM(H468)</f>
        <v>963785.61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1447.6499999999999</v>
      </c>
      <c r="H631" s="104">
        <f>SUM(J468)</f>
        <v>1447.65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15321996.839999996</v>
      </c>
      <c r="H632" s="104">
        <f>SUM(F472)</f>
        <v>15321996.84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963785.6100000001</v>
      </c>
      <c r="H633" s="104">
        <f>SUM(H472)</f>
        <v>963785.61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19254.199999999997</v>
      </c>
      <c r="H634" s="104">
        <f>I369</f>
        <v>19254.2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410971.83999999997</v>
      </c>
      <c r="H635" s="104">
        <f>SUM(G472)</f>
        <v>410971.84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1447.65</v>
      </c>
      <c r="H637" s="164">
        <f>SUM(J468)</f>
        <v>1447.65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170276</v>
      </c>
      <c r="H638" s="164">
        <f>SUM(J472)</f>
        <v>170276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480929.45</v>
      </c>
      <c r="H639" s="104">
        <f>SUM(F461)</f>
        <v>480929.45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480929.45</v>
      </c>
      <c r="H642" s="104">
        <f>SUM(I461)</f>
        <v>480929.45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1447.6499999999999</v>
      </c>
      <c r="H644" s="104">
        <f>H408</f>
        <v>1447.65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1447.6499999999999</v>
      </c>
      <c r="H646" s="104">
        <f>L408</f>
        <v>1447.65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958886.40999999992</v>
      </c>
      <c r="H647" s="104">
        <f>L208+L226+L244</f>
        <v>958886.40999999992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307923.93</v>
      </c>
      <c r="H648" s="104">
        <f>(J257+J338)-(J255+J336)</f>
        <v>307923.93000000005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460685.87999999995</v>
      </c>
      <c r="H649" s="104">
        <f>H598</f>
        <v>460685.88000000006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104906.26000000001</v>
      </c>
      <c r="H650" s="104">
        <f>I598</f>
        <v>104906.26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393294.26999999996</v>
      </c>
      <c r="H651" s="104">
        <f>J598</f>
        <v>393294.27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2923.95</v>
      </c>
      <c r="H652" s="104">
        <f>K263+K345</f>
        <v>2923.95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1000</v>
      </c>
      <c r="H653" s="104">
        <f>K264</f>
        <v>1000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6986363.1399999987</v>
      </c>
      <c r="G660" s="19">
        <f>(L229+L309+L359)</f>
        <v>1824023.33</v>
      </c>
      <c r="H660" s="19">
        <f>(L247+L328+L360)</f>
        <v>7065793.8699999992</v>
      </c>
      <c r="I660" s="19">
        <f>SUM(F660:H660)</f>
        <v>15876180.339999998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58227.821179224346</v>
      </c>
      <c r="G661" s="19">
        <f>(L359/IF(SUM(L358:L360)=0,1,SUM(L358:L360))*(SUM(G97:G110)))</f>
        <v>15772.149134839019</v>
      </c>
      <c r="H661" s="19">
        <f>(L360/IF(SUM(L358:L360)=0,1,SUM(L358:L360))*(SUM(G97:G110)))</f>
        <v>35139.909685936633</v>
      </c>
      <c r="I661" s="19">
        <f>SUM(F661:H661)</f>
        <v>109139.88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383796.65999999992</v>
      </c>
      <c r="G662" s="19">
        <f>(L226+L306)-(J226+J306)</f>
        <v>97630.44</v>
      </c>
      <c r="H662" s="19">
        <f>(L244+L325)-(J244+J325)</f>
        <v>293988.40999999997</v>
      </c>
      <c r="I662" s="19">
        <f>SUM(F662:H662)</f>
        <v>775415.50999999989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444694.87</v>
      </c>
      <c r="G663" s="199">
        <f>SUM(G575:G587)+SUM(I602:I604)+L612</f>
        <v>151922.31</v>
      </c>
      <c r="H663" s="199">
        <f>SUM(H575:H587)+SUM(J602:J604)+L613</f>
        <v>851228.01</v>
      </c>
      <c r="I663" s="19">
        <f>SUM(F663:H663)</f>
        <v>1447845.19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6099643.7888207743</v>
      </c>
      <c r="G664" s="19">
        <f>G660-SUM(G661:G663)</f>
        <v>1558698.4308651611</v>
      </c>
      <c r="H664" s="19">
        <f>H660-SUM(H661:H663)</f>
        <v>5885437.5403140625</v>
      </c>
      <c r="I664" s="19">
        <f>I660-SUM(I661:I663)</f>
        <v>13543779.759999998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482.94</v>
      </c>
      <c r="G665" s="248">
        <v>154.6</v>
      </c>
      <c r="H665" s="248">
        <v>338.17</v>
      </c>
      <c r="I665" s="19">
        <f>SUM(F665:H665)</f>
        <v>975.71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12630.23</v>
      </c>
      <c r="G667" s="19">
        <f>ROUND(G664/G665,2)</f>
        <v>10082.14</v>
      </c>
      <c r="H667" s="19">
        <f>ROUND(H664/H665,2)</f>
        <v>17403.78</v>
      </c>
      <c r="I667" s="19">
        <f>ROUND(I664/I665,2)</f>
        <v>13880.95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4.83</v>
      </c>
      <c r="I670" s="19">
        <f>SUM(F670:H670)</f>
        <v>4.83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12630.23</v>
      </c>
      <c r="G672" s="19">
        <f>ROUND((G664+G669)/(G665+G670),2)</f>
        <v>10082.14</v>
      </c>
      <c r="H672" s="19">
        <f>ROUND((H664+H669)/(H665+H670),2)</f>
        <v>17158.71</v>
      </c>
      <c r="I672" s="19">
        <f>ROUND((I664+I669)/(I665+I670),2)</f>
        <v>13812.57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C49" sqref="C4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Newport School District 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3293849.7800000003</v>
      </c>
      <c r="C9" s="229">
        <f>'DOE25'!G197+'DOE25'!G215+'DOE25'!G233+'DOE25'!G276+'DOE25'!G295+'DOE25'!G314</f>
        <v>1809657.02</v>
      </c>
    </row>
    <row r="10" spans="1:3" x14ac:dyDescent="0.2">
      <c r="A10" t="s">
        <v>779</v>
      </c>
      <c r="B10" s="240">
        <f>2745144.27+80+12500+31622.36+264057.2</f>
        <v>3053403.83</v>
      </c>
      <c r="C10" s="240">
        <v>1677554.85</v>
      </c>
    </row>
    <row r="11" spans="1:3" x14ac:dyDescent="0.2">
      <c r="A11" t="s">
        <v>780</v>
      </c>
      <c r="B11" s="240">
        <v>120412.82</v>
      </c>
      <c r="C11" s="240">
        <v>66155.39</v>
      </c>
    </row>
    <row r="12" spans="1:3" x14ac:dyDescent="0.2">
      <c r="A12" t="s">
        <v>781</v>
      </c>
      <c r="B12" s="240">
        <v>120033.13</v>
      </c>
      <c r="C12" s="240">
        <v>65946.78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3293849.78</v>
      </c>
      <c r="C13" s="231">
        <f>SUM(C10:C12)</f>
        <v>1809657.02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1347530.3800000001</v>
      </c>
      <c r="C18" s="229">
        <f>'DOE25'!G198+'DOE25'!G216+'DOE25'!G234+'DOE25'!G277+'DOE25'!G296+'DOE25'!G315</f>
        <v>516219.19999999995</v>
      </c>
    </row>
    <row r="19" spans="1:3" x14ac:dyDescent="0.2">
      <c r="A19" t="s">
        <v>779</v>
      </c>
      <c r="B19" s="240">
        <f>20815.95+599926.92+3000+111516.35</f>
        <v>735259.22</v>
      </c>
      <c r="C19" s="240">
        <v>281961.61</v>
      </c>
    </row>
    <row r="20" spans="1:3" x14ac:dyDescent="0.2">
      <c r="A20" t="s">
        <v>780</v>
      </c>
      <c r="B20" s="240">
        <f>610286.55+250</f>
        <v>610536.55000000005</v>
      </c>
      <c r="C20" s="240">
        <v>233594.02</v>
      </c>
    </row>
    <row r="21" spans="1:3" x14ac:dyDescent="0.2">
      <c r="A21" t="s">
        <v>781</v>
      </c>
      <c r="B21" s="240">
        <v>1734.6</v>
      </c>
      <c r="C21" s="240">
        <v>663.67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1347530.37</v>
      </c>
      <c r="C22" s="231">
        <f>SUM(C19:C21)</f>
        <v>516219.3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402033.47</v>
      </c>
      <c r="C27" s="234">
        <f>'DOE25'!G199+'DOE25'!G217+'DOE25'!G235+'DOE25'!G278+'DOE25'!G297+'DOE25'!G316</f>
        <v>218034.66</v>
      </c>
    </row>
    <row r="28" spans="1:3" x14ac:dyDescent="0.2">
      <c r="A28" t="s">
        <v>779</v>
      </c>
      <c r="B28" s="240">
        <v>397333.47</v>
      </c>
      <c r="C28" s="240">
        <v>215485.71</v>
      </c>
    </row>
    <row r="29" spans="1:3" x14ac:dyDescent="0.2">
      <c r="A29" t="s">
        <v>780</v>
      </c>
      <c r="B29" s="240">
        <v>4700</v>
      </c>
      <c r="C29" s="240">
        <v>2548.9499999999998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402033.47</v>
      </c>
      <c r="C31" s="231">
        <f>SUM(C28:C30)</f>
        <v>218034.66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204765.57</v>
      </c>
      <c r="C36" s="235">
        <f>'DOE25'!G200+'DOE25'!G218+'DOE25'!G236+'DOE25'!G279+'DOE25'!G298+'DOE25'!G317</f>
        <v>46223.97</v>
      </c>
    </row>
    <row r="37" spans="1:3" x14ac:dyDescent="0.2">
      <c r="A37" t="s">
        <v>779</v>
      </c>
      <c r="B37" s="240">
        <f>42590.93+24261.71+51300</f>
        <v>118152.64</v>
      </c>
      <c r="C37" s="240">
        <v>26671.89</v>
      </c>
    </row>
    <row r="38" spans="1:3" x14ac:dyDescent="0.2">
      <c r="A38" t="s">
        <v>780</v>
      </c>
      <c r="B38" s="240">
        <v>3967.5</v>
      </c>
      <c r="C38" s="240">
        <v>895.63</v>
      </c>
    </row>
    <row r="39" spans="1:3" x14ac:dyDescent="0.2">
      <c r="A39" t="s">
        <v>781</v>
      </c>
      <c r="B39" s="240">
        <v>82645.429999999993</v>
      </c>
      <c r="C39" s="240">
        <v>18656.46</v>
      </c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204765.57</v>
      </c>
      <c r="C40" s="231">
        <f>SUM(C37:C39)</f>
        <v>46223.979999999996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Newport School District 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8672025.4499999993</v>
      </c>
      <c r="D5" s="20">
        <f>SUM('DOE25'!L197:L200)+SUM('DOE25'!L215:L218)+SUM('DOE25'!L233:L236)-F5-G5</f>
        <v>8611496.2699999996</v>
      </c>
      <c r="E5" s="243"/>
      <c r="F5" s="255">
        <f>SUM('DOE25'!J197:J200)+SUM('DOE25'!J215:J218)+SUM('DOE25'!J233:J236)</f>
        <v>35287.899999999994</v>
      </c>
      <c r="G5" s="53">
        <f>SUM('DOE25'!K197:K200)+SUM('DOE25'!K215:K218)+SUM('DOE25'!K233:K236)</f>
        <v>25241.279999999999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1531075.9300000002</v>
      </c>
      <c r="D6" s="20">
        <f>'DOE25'!L202+'DOE25'!L220+'DOE25'!L238-F6-G6</f>
        <v>1530995.9300000002</v>
      </c>
      <c r="E6" s="243"/>
      <c r="F6" s="255">
        <f>'DOE25'!J202+'DOE25'!J220+'DOE25'!J238</f>
        <v>0</v>
      </c>
      <c r="G6" s="53">
        <f>'DOE25'!K202+'DOE25'!K220+'DOE25'!K238</f>
        <v>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706997.22</v>
      </c>
      <c r="D7" s="20">
        <f>'DOE25'!L203+'DOE25'!L221+'DOE25'!L239-F7-G7</f>
        <v>643208.22</v>
      </c>
      <c r="E7" s="243"/>
      <c r="F7" s="255">
        <f>'DOE25'!J203+'DOE25'!J221+'DOE25'!J239</f>
        <v>53568.76</v>
      </c>
      <c r="G7" s="53">
        <f>'DOE25'!K203+'DOE25'!K221+'DOE25'!K239</f>
        <v>10220.24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354779.58999999997</v>
      </c>
      <c r="D8" s="243"/>
      <c r="E8" s="20">
        <f>'DOE25'!L204+'DOE25'!L222+'DOE25'!L240-F8-G8-D9-D11</f>
        <v>345153.06</v>
      </c>
      <c r="F8" s="255">
        <f>'DOE25'!J204+'DOE25'!J222+'DOE25'!J240</f>
        <v>0</v>
      </c>
      <c r="G8" s="53">
        <f>'DOE25'!K204+'DOE25'!K222+'DOE25'!K240</f>
        <v>9626.5299999999988</v>
      </c>
      <c r="H8" s="259"/>
    </row>
    <row r="9" spans="1:9" x14ac:dyDescent="0.2">
      <c r="A9" s="32">
        <v>2310</v>
      </c>
      <c r="B9" t="s">
        <v>818</v>
      </c>
      <c r="C9" s="245">
        <f t="shared" si="0"/>
        <v>68038.31</v>
      </c>
      <c r="D9" s="244">
        <v>68038.31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19900</v>
      </c>
      <c r="D10" s="243"/>
      <c r="E10" s="244">
        <v>19900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344213.94</v>
      </c>
      <c r="D11" s="244">
        <v>344213.94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741522.2699999999</v>
      </c>
      <c r="D12" s="20">
        <f>'DOE25'!L205+'DOE25'!L223+'DOE25'!L241-F12-G12</f>
        <v>729300.82</v>
      </c>
      <c r="E12" s="243"/>
      <c r="F12" s="255">
        <f>'DOE25'!J205+'DOE25'!J223+'DOE25'!J241</f>
        <v>2791.4500000000007</v>
      </c>
      <c r="G12" s="53">
        <f>'DOE25'!K205+'DOE25'!K223+'DOE25'!K241</f>
        <v>9430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1123883.77</v>
      </c>
      <c r="D14" s="20">
        <f>'DOE25'!L207+'DOE25'!L225+'DOE25'!L243-F14-G14</f>
        <v>1119227.8700000001</v>
      </c>
      <c r="E14" s="243"/>
      <c r="F14" s="255">
        <f>'DOE25'!J207+'DOE25'!J225+'DOE25'!J243</f>
        <v>4655.8999999999996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958886.40999999992</v>
      </c>
      <c r="D15" s="20">
        <f>'DOE25'!L208+'DOE25'!L226+'DOE25'!L244-F15-G15</f>
        <v>774786.40999999992</v>
      </c>
      <c r="E15" s="243"/>
      <c r="F15" s="255">
        <f>'DOE25'!J208+'DOE25'!J226+'DOE25'!J244</f>
        <v>183470.90000000002</v>
      </c>
      <c r="G15" s="53">
        <f>'DOE25'!K208+'DOE25'!K226+'DOE25'!K244</f>
        <v>629.1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816650</v>
      </c>
      <c r="D25" s="243"/>
      <c r="E25" s="243"/>
      <c r="F25" s="258"/>
      <c r="G25" s="256"/>
      <c r="H25" s="257">
        <f>'DOE25'!L260+'DOE25'!L261+'DOE25'!L341+'DOE25'!L342</f>
        <v>816650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393746.76999999996</v>
      </c>
      <c r="D29" s="20">
        <f>'DOE25'!L358+'DOE25'!L359+'DOE25'!L360-'DOE25'!I367-F29-G29</f>
        <v>393648.24999999994</v>
      </c>
      <c r="E29" s="243"/>
      <c r="F29" s="255">
        <f>'DOE25'!J358+'DOE25'!J359+'DOE25'!J360</f>
        <v>98.52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963785.6100000001</v>
      </c>
      <c r="D31" s="20">
        <f>'DOE25'!L290+'DOE25'!L309+'DOE25'!L328+'DOE25'!L333+'DOE25'!L334+'DOE25'!L335-F31-G31</f>
        <v>934295.09000000008</v>
      </c>
      <c r="E31" s="243"/>
      <c r="F31" s="255">
        <f>'DOE25'!J290+'DOE25'!J309+'DOE25'!J328+'DOE25'!J333+'DOE25'!J334+'DOE25'!J335</f>
        <v>28149.02</v>
      </c>
      <c r="G31" s="53">
        <f>'DOE25'!K290+'DOE25'!K309+'DOE25'!K328+'DOE25'!K333+'DOE25'!K334+'DOE25'!K335</f>
        <v>1341.5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15149211.109999999</v>
      </c>
      <c r="E33" s="246">
        <f>SUM(E5:E31)</f>
        <v>365053.06</v>
      </c>
      <c r="F33" s="246">
        <f>SUM(F5:F31)</f>
        <v>308022.45000000007</v>
      </c>
      <c r="G33" s="246">
        <f>SUM(G5:G31)</f>
        <v>56568.649999999994</v>
      </c>
      <c r="H33" s="246">
        <f>SUM(H5:H31)</f>
        <v>816650</v>
      </c>
    </row>
    <row r="35" spans="2:8" ht="12" thickBot="1" x14ac:dyDescent="0.25">
      <c r="B35" s="253" t="s">
        <v>847</v>
      </c>
      <c r="D35" s="254">
        <f>E33</f>
        <v>365053.06</v>
      </c>
      <c r="E35" s="249"/>
    </row>
    <row r="36" spans="2:8" ht="12" thickTop="1" x14ac:dyDescent="0.2">
      <c r="B36" t="s">
        <v>815</v>
      </c>
      <c r="D36" s="20">
        <f>D33</f>
        <v>15149211.109999999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Newport School District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578762.16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480929.45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166434.38</v>
      </c>
      <c r="D11" s="95">
        <f>'DOE25'!G12</f>
        <v>-17711.03</v>
      </c>
      <c r="E11" s="95">
        <f>'DOE25'!H12</f>
        <v>-148723.35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350183.63</v>
      </c>
      <c r="D12" s="95">
        <f>'DOE25'!G13</f>
        <v>12595.05</v>
      </c>
      <c r="E12" s="95">
        <f>'DOE25'!H13</f>
        <v>178354.25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8158.08</v>
      </c>
      <c r="D13" s="95">
        <f>'DOE25'!G14</f>
        <v>4971.6499999999996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15644.59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5465.21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1530.95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1109003.46</v>
      </c>
      <c r="D18" s="41">
        <f>SUM(D8:D17)</f>
        <v>17031.21</v>
      </c>
      <c r="E18" s="41">
        <f>SUM(E8:E17)</f>
        <v>29630.899999999994</v>
      </c>
      <c r="F18" s="41">
        <f>SUM(F8:F17)</f>
        <v>0</v>
      </c>
      <c r="G18" s="41">
        <f>SUM(G8:G17)</f>
        <v>480929.45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170276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2375.9499999999998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183706.04</v>
      </c>
      <c r="D23" s="95">
        <f>'DOE25'!G24</f>
        <v>0</v>
      </c>
      <c r="E23" s="95">
        <f>'DOE25'!H24</f>
        <v>11626.69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22500.91</v>
      </c>
      <c r="D24" s="95">
        <f>'DOE25'!G25</f>
        <v>0</v>
      </c>
      <c r="E24" s="95">
        <f>'DOE25'!H25</f>
        <v>934.72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4089.6600000000003</v>
      </c>
      <c r="D28" s="95">
        <f>'DOE25'!G29</f>
        <v>0</v>
      </c>
      <c r="E28" s="95">
        <f>'DOE25'!H29</f>
        <v>71.52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10756.86</v>
      </c>
      <c r="E29" s="95">
        <f>'DOE25'!H30</f>
        <v>16997.97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4774.3500000000004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212672.56000000003</v>
      </c>
      <c r="D31" s="41">
        <f>SUM(D21:D30)</f>
        <v>15531.210000000001</v>
      </c>
      <c r="E31" s="41">
        <f>SUM(E21:E30)</f>
        <v>29630.9</v>
      </c>
      <c r="F31" s="41">
        <f>SUM(F21:F30)</f>
        <v>0</v>
      </c>
      <c r="G31" s="41">
        <f>SUM(G21:G30)</f>
        <v>170276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1500</v>
      </c>
      <c r="E47" s="95">
        <f>'DOE25'!H48</f>
        <v>0</v>
      </c>
      <c r="F47" s="95">
        <f>'DOE25'!I48</f>
        <v>0</v>
      </c>
      <c r="G47" s="95">
        <f>'DOE25'!J48</f>
        <v>310653.45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45356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850974.89999999991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896330.89999999991</v>
      </c>
      <c r="D50" s="41">
        <f>SUM(D34:D49)</f>
        <v>1500</v>
      </c>
      <c r="E50" s="41">
        <f>SUM(E34:E49)</f>
        <v>0</v>
      </c>
      <c r="F50" s="41">
        <f>SUM(F34:F49)</f>
        <v>0</v>
      </c>
      <c r="G50" s="41">
        <f>SUM(G34:G49)</f>
        <v>310653.45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1109003.46</v>
      </c>
      <c r="D51" s="41">
        <f>D50+D31</f>
        <v>17031.21</v>
      </c>
      <c r="E51" s="41">
        <f>E50+E31</f>
        <v>29630.9</v>
      </c>
      <c r="F51" s="41">
        <f>F50+F31</f>
        <v>0</v>
      </c>
      <c r="G51" s="41">
        <f>G50+G31</f>
        <v>480929.45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5390909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1800248.38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187.27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2365.2199999999998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1447.6499999999999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100329.04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242520.32000000001</v>
      </c>
      <c r="D61" s="95">
        <f>SUM('DOE25'!G98:G110)</f>
        <v>8810.84</v>
      </c>
      <c r="E61" s="95">
        <f>SUM('DOE25'!H98:H110)</f>
        <v>1519.56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2045321.19</v>
      </c>
      <c r="D62" s="130">
        <f>SUM(D57:D61)</f>
        <v>109139.87999999999</v>
      </c>
      <c r="E62" s="130">
        <f>SUM(E57:E61)</f>
        <v>1519.56</v>
      </c>
      <c r="F62" s="130">
        <f>SUM(F57:F61)</f>
        <v>0</v>
      </c>
      <c r="G62" s="130">
        <f>SUM(G57:G61)</f>
        <v>1447.6499999999999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7436230.1899999995</v>
      </c>
      <c r="D63" s="22">
        <f>D56+D62</f>
        <v>109139.87999999999</v>
      </c>
      <c r="E63" s="22">
        <f>E56+E62</f>
        <v>1519.56</v>
      </c>
      <c r="F63" s="22">
        <f>F56+F62</f>
        <v>0</v>
      </c>
      <c r="G63" s="22">
        <f>G56+G62</f>
        <v>1447.6499999999999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6649509.6200000001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985538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7635047.6200000001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339729.59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175630.57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42168.76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5520.16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557528.92000000004</v>
      </c>
      <c r="D78" s="130">
        <f>SUM(D72:D77)</f>
        <v>5520.16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8192576.54</v>
      </c>
      <c r="D81" s="130">
        <f>SUM(D79:D80)+D78+D70</f>
        <v>5520.16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111423.45</v>
      </c>
      <c r="D88" s="95">
        <f>SUM('DOE25'!G153:G161)</f>
        <v>290845.25</v>
      </c>
      <c r="E88" s="95">
        <f>SUM('DOE25'!H153:H161)</f>
        <v>961266.05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111423.45</v>
      </c>
      <c r="D91" s="131">
        <f>SUM(D85:D90)</f>
        <v>290845.25</v>
      </c>
      <c r="E91" s="131">
        <f>SUM(E85:E90)</f>
        <v>961266.05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2923.95</v>
      </c>
      <c r="E96" s="95">
        <f>'DOE25'!H179</f>
        <v>1000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170276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170276</v>
      </c>
      <c r="D103" s="86">
        <f>SUM(D93:D102)</f>
        <v>2923.95</v>
      </c>
      <c r="E103" s="86">
        <f>SUM(E93:E102)</f>
        <v>1000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15910506.18</v>
      </c>
      <c r="D104" s="86">
        <f>D63+D81+D91+D103</f>
        <v>408429.24</v>
      </c>
      <c r="E104" s="86">
        <f>E63+E81+E91+E103</f>
        <v>963785.6100000001</v>
      </c>
      <c r="F104" s="86">
        <f>F63+F81+F91+F103</f>
        <v>0</v>
      </c>
      <c r="G104" s="86">
        <f>G63+G81+G103</f>
        <v>1447.6499999999999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4811923.459999999</v>
      </c>
      <c r="D109" s="24" t="s">
        <v>289</v>
      </c>
      <c r="E109" s="95">
        <f>('DOE25'!L276)+('DOE25'!L295)+('DOE25'!L314)</f>
        <v>613023.84000000008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2843657.5</v>
      </c>
      <c r="D110" s="24" t="s">
        <v>289</v>
      </c>
      <c r="E110" s="95">
        <f>('DOE25'!L277)+('DOE25'!L296)+('DOE25'!L315)</f>
        <v>170227.52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674561.66999999993</v>
      </c>
      <c r="D111" s="24" t="s">
        <v>289</v>
      </c>
      <c r="E111" s="95">
        <f>('DOE25'!L278)+('DOE25'!L297)+('DOE25'!L316)</f>
        <v>66178.89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341882.82</v>
      </c>
      <c r="D112" s="24" t="s">
        <v>289</v>
      </c>
      <c r="E112" s="95">
        <f>+('DOE25'!L279)+('DOE25'!L298)+('DOE25'!L317)</f>
        <v>615.57000000000005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8672025.4499999993</v>
      </c>
      <c r="D115" s="86">
        <f>SUM(D109:D114)</f>
        <v>0</v>
      </c>
      <c r="E115" s="86">
        <f>SUM(E109:E114)</f>
        <v>850045.82000000007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1531075.9300000002</v>
      </c>
      <c r="D118" s="24" t="s">
        <v>289</v>
      </c>
      <c r="E118" s="95">
        <f>+('DOE25'!L281)+('DOE25'!L300)+('DOE25'!L319)</f>
        <v>8675.89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706997.22</v>
      </c>
      <c r="D119" s="24" t="s">
        <v>289</v>
      </c>
      <c r="E119" s="95">
        <f>+('DOE25'!L282)+('DOE25'!L301)+('DOE25'!L320)</f>
        <v>88125.14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767031.84</v>
      </c>
      <c r="D120" s="24" t="s">
        <v>289</v>
      </c>
      <c r="E120" s="95">
        <f>+('DOE25'!L283)+('DOE25'!L302)+('DOE25'!L321)</f>
        <v>14500.57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741522.2699999999</v>
      </c>
      <c r="D121" s="24" t="s">
        <v>289</v>
      </c>
      <c r="E121" s="95">
        <f>+('DOE25'!L284)+('DOE25'!L303)+('DOE25'!L322)</f>
        <v>2438.19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1123883.77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958886.40999999992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410971.83999999997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5829397.4400000004</v>
      </c>
      <c r="D128" s="86">
        <f>SUM(D118:D127)</f>
        <v>410971.83999999997</v>
      </c>
      <c r="E128" s="86">
        <f>SUM(E118:E127)</f>
        <v>113739.79000000001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306650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170276</v>
      </c>
    </row>
    <row r="135" spans="1:7" x14ac:dyDescent="0.2">
      <c r="A135" t="s">
        <v>233</v>
      </c>
      <c r="B135" s="32" t="s">
        <v>234</v>
      </c>
      <c r="C135" s="95">
        <f>'DOE25'!L263</f>
        <v>2923.95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1000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1192.28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255.37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-1447.65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820573.95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170276</v>
      </c>
    </row>
    <row r="145" spans="1:9" ht="12.75" thickTop="1" thickBot="1" x14ac:dyDescent="0.25">
      <c r="A145" s="33" t="s">
        <v>244</v>
      </c>
      <c r="C145" s="86">
        <f>(C115+C128+C144)</f>
        <v>15321996.84</v>
      </c>
      <c r="D145" s="86">
        <f>(D115+D128+D144)</f>
        <v>410971.83999999997</v>
      </c>
      <c r="E145" s="86">
        <f>(E115+E128+E144)</f>
        <v>963785.6100000001</v>
      </c>
      <c r="F145" s="86">
        <f>(F115+F128+F144)</f>
        <v>0</v>
      </c>
      <c r="G145" s="86">
        <f>(G115+G128+G144)</f>
        <v>170276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8/15/2007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8/15/2027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10156100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6590000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6590000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510000</v>
      </c>
    </row>
    <row r="159" spans="1:9" x14ac:dyDescent="0.2">
      <c r="A159" s="22" t="s">
        <v>35</v>
      </c>
      <c r="B159" s="137">
        <f>'DOE25'!F498</f>
        <v>6080000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6080000</v>
      </c>
    </row>
    <row r="160" spans="1:9" x14ac:dyDescent="0.2">
      <c r="A160" s="22" t="s">
        <v>36</v>
      </c>
      <c r="B160" s="137">
        <f>'DOE25'!F499</f>
        <v>1140952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1140952</v>
      </c>
    </row>
    <row r="161" spans="1:7" x14ac:dyDescent="0.2">
      <c r="A161" s="22" t="s">
        <v>37</v>
      </c>
      <c r="B161" s="137">
        <f>'DOE25'!F500</f>
        <v>7220952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7220952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281150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281150</v>
      </c>
    </row>
    <row r="164" spans="1:7" x14ac:dyDescent="0.2">
      <c r="A164" s="22" t="s">
        <v>246</v>
      </c>
      <c r="B164" s="137">
        <f>'DOE25'!F503</f>
        <v>791150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791150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34" sqref="J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Newport School District 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12630</v>
      </c>
    </row>
    <row r="5" spans="1:4" x14ac:dyDescent="0.2">
      <c r="B5" t="s">
        <v>704</v>
      </c>
      <c r="C5" s="179">
        <f>IF('DOE25'!G665+'DOE25'!G670=0,0,ROUND('DOE25'!G672,0))</f>
        <v>10082</v>
      </c>
    </row>
    <row r="6" spans="1:4" x14ac:dyDescent="0.2">
      <c r="B6" t="s">
        <v>62</v>
      </c>
      <c r="C6" s="179">
        <f>IF('DOE25'!H665+'DOE25'!H670=0,0,ROUND('DOE25'!H672,0))</f>
        <v>17159</v>
      </c>
    </row>
    <row r="7" spans="1:4" x14ac:dyDescent="0.2">
      <c r="B7" t="s">
        <v>705</v>
      </c>
      <c r="C7" s="179">
        <f>IF('DOE25'!I665+'DOE25'!I670=0,0,ROUND('DOE25'!I672,0))</f>
        <v>13813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5424947</v>
      </c>
      <c r="D10" s="182">
        <f>ROUND((C10/$C$28)*100,1)</f>
        <v>33.799999999999997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3013885</v>
      </c>
      <c r="D11" s="182">
        <f>ROUND((C11/$C$28)*100,1)</f>
        <v>18.8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740741</v>
      </c>
      <c r="D12" s="182">
        <f>ROUND((C12/$C$28)*100,1)</f>
        <v>4.5999999999999996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342498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1539752</v>
      </c>
      <c r="D15" s="182">
        <f t="shared" ref="D15:D27" si="0">ROUND((C15/$C$28)*100,1)</f>
        <v>9.6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795122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781532</v>
      </c>
      <c r="D17" s="182">
        <f t="shared" si="0"/>
        <v>4.9000000000000004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743960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1123884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958886</v>
      </c>
      <c r="D21" s="182">
        <f t="shared" si="0"/>
        <v>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306650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301832.12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16073689.119999999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16073689.119999999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5390909</v>
      </c>
      <c r="D35" s="182">
        <f t="shared" ref="D35:D40" si="1">ROUND((C35/$C$41)*100,1)</f>
        <v>31.7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2048288.3999999994</v>
      </c>
      <c r="D36" s="182">
        <f t="shared" si="1"/>
        <v>12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7635048</v>
      </c>
      <c r="D37" s="182">
        <f t="shared" si="1"/>
        <v>44.9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563049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1363535</v>
      </c>
      <c r="D39" s="182">
        <f t="shared" si="1"/>
        <v>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17000829.399999999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89"/>
  <sheetViews>
    <sheetView workbookViewId="0">
      <pane ySplit="3" topLeftCell="A4" activePane="bottomLeft" state="frozen"/>
      <selection activeCell="F46" sqref="F46"/>
      <selection pane="bottomLeft" activeCell="C17" sqref="C17:M1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 xml:space="preserve">Newport School District 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ht="45" customHeight="1" x14ac:dyDescent="0.2">
      <c r="A5" s="218"/>
      <c r="B5" s="219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211"/>
      <c r="O28" s="211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07"/>
      <c r="AB28" s="207"/>
      <c r="AC28" s="284"/>
      <c r="AD28" s="284"/>
      <c r="AE28" s="284"/>
      <c r="AF28" s="284"/>
      <c r="AG28" s="284"/>
      <c r="AH28" s="284"/>
      <c r="AI28" s="284"/>
      <c r="AJ28" s="284"/>
      <c r="AK28" s="284"/>
      <c r="AL28" s="284"/>
      <c r="AM28" s="284"/>
      <c r="AN28" s="207"/>
      <c r="AO28" s="207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07"/>
      <c r="BB28" s="207"/>
      <c r="BC28" s="284"/>
      <c r="BD28" s="284"/>
      <c r="BE28" s="284"/>
      <c r="BF28" s="284"/>
      <c r="BG28" s="284"/>
      <c r="BH28" s="284"/>
      <c r="BI28" s="284"/>
      <c r="BJ28" s="284"/>
      <c r="BK28" s="284"/>
      <c r="BL28" s="284"/>
      <c r="BM28" s="284"/>
      <c r="BN28" s="207"/>
      <c r="BO28" s="207"/>
      <c r="BP28" s="284"/>
      <c r="BQ28" s="284"/>
      <c r="BR28" s="284"/>
      <c r="BS28" s="284"/>
      <c r="BT28" s="284"/>
      <c r="BU28" s="284"/>
      <c r="BV28" s="284"/>
      <c r="BW28" s="284"/>
      <c r="BX28" s="284"/>
      <c r="BY28" s="284"/>
      <c r="BZ28" s="284"/>
      <c r="CA28" s="207"/>
      <c r="CB28" s="207"/>
      <c r="CC28" s="284"/>
      <c r="CD28" s="284"/>
      <c r="CE28" s="284"/>
      <c r="CF28" s="284"/>
      <c r="CG28" s="284"/>
      <c r="CH28" s="284"/>
      <c r="CI28" s="284"/>
      <c r="CJ28" s="284"/>
      <c r="CK28" s="284"/>
      <c r="CL28" s="284"/>
      <c r="CM28" s="284"/>
      <c r="CN28" s="207"/>
      <c r="CO28" s="207"/>
      <c r="CP28" s="284"/>
      <c r="CQ28" s="284"/>
      <c r="CR28" s="284"/>
      <c r="CS28" s="284"/>
      <c r="CT28" s="284"/>
      <c r="CU28" s="284"/>
      <c r="CV28" s="284"/>
      <c r="CW28" s="284"/>
      <c r="CX28" s="284"/>
      <c r="CY28" s="284"/>
      <c r="CZ28" s="284"/>
      <c r="DA28" s="207"/>
      <c r="DB28" s="207"/>
      <c r="DC28" s="284"/>
      <c r="DD28" s="284"/>
      <c r="DE28" s="284"/>
      <c r="DF28" s="284"/>
      <c r="DG28" s="284"/>
      <c r="DH28" s="284"/>
      <c r="DI28" s="284"/>
      <c r="DJ28" s="284"/>
      <c r="DK28" s="284"/>
      <c r="DL28" s="284"/>
      <c r="DM28" s="284"/>
      <c r="DN28" s="207"/>
      <c r="DO28" s="207"/>
      <c r="DP28" s="284"/>
      <c r="DQ28" s="284"/>
      <c r="DR28" s="284"/>
      <c r="DS28" s="284"/>
      <c r="DT28" s="284"/>
      <c r="DU28" s="284"/>
      <c r="DV28" s="284"/>
      <c r="DW28" s="284"/>
      <c r="DX28" s="284"/>
      <c r="DY28" s="284"/>
      <c r="DZ28" s="284"/>
      <c r="EA28" s="207"/>
      <c r="EB28" s="207"/>
      <c r="EC28" s="284"/>
      <c r="ED28" s="284"/>
      <c r="EE28" s="284"/>
      <c r="EF28" s="284"/>
      <c r="EG28" s="284"/>
      <c r="EH28" s="284"/>
      <c r="EI28" s="284"/>
      <c r="EJ28" s="284"/>
      <c r="EK28" s="284"/>
      <c r="EL28" s="284"/>
      <c r="EM28" s="284"/>
      <c r="EN28" s="207"/>
      <c r="EO28" s="207"/>
      <c r="EP28" s="284"/>
      <c r="EQ28" s="284"/>
      <c r="ER28" s="284"/>
      <c r="ES28" s="284"/>
      <c r="ET28" s="284"/>
      <c r="EU28" s="284"/>
      <c r="EV28" s="284"/>
      <c r="EW28" s="284"/>
      <c r="EX28" s="284"/>
      <c r="EY28" s="284"/>
      <c r="EZ28" s="284"/>
      <c r="FA28" s="207"/>
      <c r="FB28" s="207"/>
      <c r="FC28" s="284"/>
      <c r="FD28" s="284"/>
      <c r="FE28" s="284"/>
      <c r="FF28" s="284"/>
      <c r="FG28" s="284"/>
      <c r="FH28" s="284"/>
      <c r="FI28" s="284"/>
      <c r="FJ28" s="284"/>
      <c r="FK28" s="284"/>
      <c r="FL28" s="284"/>
      <c r="FM28" s="284"/>
      <c r="FN28" s="207"/>
      <c r="FO28" s="207"/>
      <c r="FP28" s="284"/>
      <c r="FQ28" s="284"/>
      <c r="FR28" s="284"/>
      <c r="FS28" s="284"/>
      <c r="FT28" s="284"/>
      <c r="FU28" s="284"/>
      <c r="FV28" s="284"/>
      <c r="FW28" s="284"/>
      <c r="FX28" s="284"/>
      <c r="FY28" s="284"/>
      <c r="FZ28" s="284"/>
      <c r="GA28" s="207"/>
      <c r="GB28" s="207"/>
      <c r="GC28" s="284"/>
      <c r="GD28" s="284"/>
      <c r="GE28" s="284"/>
      <c r="GF28" s="284"/>
      <c r="GG28" s="284"/>
      <c r="GH28" s="284"/>
      <c r="GI28" s="284"/>
      <c r="GJ28" s="284"/>
      <c r="GK28" s="284"/>
      <c r="GL28" s="284"/>
      <c r="GM28" s="284"/>
      <c r="GN28" s="207"/>
      <c r="GO28" s="207"/>
      <c r="GP28" s="284"/>
      <c r="GQ28" s="284"/>
      <c r="GR28" s="284"/>
      <c r="GS28" s="284"/>
      <c r="GT28" s="284"/>
      <c r="GU28" s="284"/>
      <c r="GV28" s="284"/>
      <c r="GW28" s="284"/>
      <c r="GX28" s="284"/>
      <c r="GY28" s="284"/>
      <c r="GZ28" s="284"/>
      <c r="HA28" s="207"/>
      <c r="HB28" s="207"/>
      <c r="HC28" s="284"/>
      <c r="HD28" s="284"/>
      <c r="HE28" s="284"/>
      <c r="HF28" s="284"/>
      <c r="HG28" s="284"/>
      <c r="HH28" s="284"/>
      <c r="HI28" s="284"/>
      <c r="HJ28" s="284"/>
      <c r="HK28" s="284"/>
      <c r="HL28" s="284"/>
      <c r="HM28" s="284"/>
      <c r="HN28" s="207"/>
      <c r="HO28" s="207"/>
      <c r="HP28" s="284"/>
      <c r="HQ28" s="284"/>
      <c r="HR28" s="284"/>
      <c r="HS28" s="284"/>
      <c r="HT28" s="284"/>
      <c r="HU28" s="284"/>
      <c r="HV28" s="284"/>
      <c r="HW28" s="284"/>
      <c r="HX28" s="284"/>
      <c r="HY28" s="284"/>
      <c r="HZ28" s="284"/>
      <c r="IA28" s="207"/>
      <c r="IB28" s="207"/>
      <c r="IC28" s="284"/>
      <c r="ID28" s="284"/>
      <c r="IE28" s="284"/>
      <c r="IF28" s="284"/>
      <c r="IG28" s="284"/>
      <c r="IH28" s="284"/>
      <c r="II28" s="284"/>
      <c r="IJ28" s="284"/>
      <c r="IK28" s="284"/>
      <c r="IL28" s="284"/>
      <c r="IM28" s="284"/>
      <c r="IN28" s="207"/>
      <c r="IO28" s="207"/>
      <c r="IP28" s="284"/>
      <c r="IQ28" s="284"/>
      <c r="IR28" s="284"/>
      <c r="IS28" s="284"/>
      <c r="IT28" s="284"/>
      <c r="IU28" s="284"/>
      <c r="IV28" s="284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23"/>
      <c r="O31" s="223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9"/>
      <c r="AA31" s="218"/>
      <c r="AB31" s="219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7"/>
      <c r="AN31" s="218"/>
      <c r="AO31" s="219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7"/>
      <c r="BA31" s="218"/>
      <c r="BB31" s="219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7"/>
      <c r="BN31" s="218"/>
      <c r="BO31" s="219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7"/>
      <c r="CA31" s="218"/>
      <c r="CB31" s="219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7"/>
      <c r="CN31" s="218"/>
      <c r="CO31" s="219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7"/>
      <c r="DA31" s="218"/>
      <c r="DB31" s="219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7"/>
      <c r="DN31" s="218"/>
      <c r="DO31" s="219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7"/>
      <c r="EA31" s="218"/>
      <c r="EB31" s="219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7"/>
      <c r="EN31" s="218"/>
      <c r="EO31" s="219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7"/>
      <c r="FA31" s="218"/>
      <c r="FB31" s="219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7"/>
      <c r="FN31" s="218"/>
      <c r="FO31" s="219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7"/>
      <c r="GA31" s="218"/>
      <c r="GB31" s="219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7"/>
      <c r="GN31" s="218"/>
      <c r="GO31" s="219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7"/>
      <c r="HA31" s="218"/>
      <c r="HB31" s="219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7"/>
      <c r="HN31" s="218"/>
      <c r="HO31" s="219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7"/>
      <c r="IA31" s="218"/>
      <c r="IB31" s="219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7"/>
      <c r="IN31" s="218"/>
      <c r="IO31" s="219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11"/>
      <c r="O32" s="211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07"/>
      <c r="AB32" s="207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07"/>
      <c r="AO32" s="207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07"/>
      <c r="BB32" s="207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07"/>
      <c r="BO32" s="207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  <c r="CA32" s="207"/>
      <c r="CB32" s="207"/>
      <c r="CC32" s="212"/>
      <c r="CD32" s="212"/>
      <c r="CE32" s="212"/>
      <c r="CF32" s="212"/>
      <c r="CG32" s="212"/>
      <c r="CH32" s="212"/>
      <c r="CI32" s="212"/>
      <c r="CJ32" s="212"/>
      <c r="CK32" s="212"/>
      <c r="CL32" s="212"/>
      <c r="CM32" s="212"/>
      <c r="CN32" s="207"/>
      <c r="CO32" s="207"/>
      <c r="CP32" s="212"/>
      <c r="CQ32" s="212"/>
      <c r="CR32" s="212"/>
      <c r="CS32" s="212"/>
      <c r="CT32" s="212"/>
      <c r="CU32" s="212"/>
      <c r="CV32" s="212"/>
      <c r="CW32" s="212"/>
      <c r="CX32" s="212"/>
      <c r="CY32" s="212"/>
      <c r="CZ32" s="212"/>
      <c r="DA32" s="207"/>
      <c r="DB32" s="207"/>
      <c r="DC32" s="212"/>
      <c r="DD32" s="212"/>
      <c r="DE32" s="212"/>
      <c r="DF32" s="212"/>
      <c r="DG32" s="212"/>
      <c r="DH32" s="212"/>
      <c r="DI32" s="212"/>
      <c r="DJ32" s="212"/>
      <c r="DK32" s="212"/>
      <c r="DL32" s="212"/>
      <c r="DM32" s="212"/>
      <c r="DN32" s="207"/>
      <c r="DO32" s="207"/>
      <c r="DP32" s="212"/>
      <c r="DQ32" s="212"/>
      <c r="DR32" s="212"/>
      <c r="DS32" s="212"/>
      <c r="DT32" s="212"/>
      <c r="DU32" s="212"/>
      <c r="DV32" s="212"/>
      <c r="DW32" s="212"/>
      <c r="DX32" s="212"/>
      <c r="DY32" s="212"/>
      <c r="DZ32" s="212"/>
      <c r="EA32" s="207"/>
      <c r="EB32" s="207"/>
      <c r="EC32" s="212"/>
      <c r="ED32" s="212"/>
      <c r="EE32" s="212"/>
      <c r="EF32" s="212"/>
      <c r="EG32" s="212"/>
      <c r="EH32" s="212"/>
      <c r="EI32" s="212"/>
      <c r="EJ32" s="212"/>
      <c r="EK32" s="212"/>
      <c r="EL32" s="212"/>
      <c r="EM32" s="212"/>
      <c r="EN32" s="207"/>
      <c r="EO32" s="207"/>
      <c r="EP32" s="212"/>
      <c r="EQ32" s="212"/>
      <c r="ER32" s="212"/>
      <c r="ES32" s="212"/>
      <c r="ET32" s="212"/>
      <c r="EU32" s="212"/>
      <c r="EV32" s="212"/>
      <c r="EW32" s="212"/>
      <c r="EX32" s="212"/>
      <c r="EY32" s="212"/>
      <c r="EZ32" s="212"/>
      <c r="FA32" s="207"/>
      <c r="FB32" s="207"/>
      <c r="FC32" s="212"/>
      <c r="FD32" s="212"/>
      <c r="FE32" s="212"/>
      <c r="FF32" s="212"/>
      <c r="FG32" s="212"/>
      <c r="FH32" s="212"/>
      <c r="FI32" s="212"/>
      <c r="FJ32" s="212"/>
      <c r="FK32" s="212"/>
      <c r="FL32" s="212"/>
      <c r="FM32" s="212"/>
      <c r="FN32" s="207"/>
      <c r="FO32" s="207"/>
      <c r="FP32" s="212"/>
      <c r="FQ32" s="212"/>
      <c r="FR32" s="212"/>
      <c r="FS32" s="212"/>
      <c r="FT32" s="212"/>
      <c r="FU32" s="212"/>
      <c r="FV32" s="212"/>
      <c r="FW32" s="212"/>
      <c r="FX32" s="212"/>
      <c r="FY32" s="212"/>
      <c r="FZ32" s="212"/>
      <c r="GA32" s="207"/>
      <c r="GB32" s="207"/>
      <c r="GC32" s="212"/>
      <c r="GD32" s="212"/>
      <c r="GE32" s="212"/>
      <c r="GF32" s="212"/>
      <c r="GG32" s="212"/>
      <c r="GH32" s="212"/>
      <c r="GI32" s="212"/>
      <c r="GJ32" s="212"/>
      <c r="GK32" s="212"/>
      <c r="GL32" s="212"/>
      <c r="GM32" s="212"/>
      <c r="GN32" s="207"/>
      <c r="GO32" s="207"/>
      <c r="GP32" s="212"/>
      <c r="GQ32" s="212"/>
      <c r="GR32" s="212"/>
      <c r="GS32" s="212"/>
      <c r="GT32" s="212"/>
      <c r="GU32" s="212"/>
      <c r="GV32" s="212"/>
      <c r="GW32" s="212"/>
      <c r="GX32" s="212"/>
      <c r="GY32" s="212"/>
      <c r="GZ32" s="212"/>
      <c r="HA32" s="207"/>
      <c r="HB32" s="207"/>
      <c r="HC32" s="212"/>
      <c r="HD32" s="212"/>
      <c r="HE32" s="212"/>
      <c r="HF32" s="212"/>
      <c r="HG32" s="212"/>
      <c r="HH32" s="212"/>
      <c r="HI32" s="212"/>
      <c r="HJ32" s="212"/>
      <c r="HK32" s="212"/>
      <c r="HL32" s="212"/>
      <c r="HM32" s="212"/>
      <c r="HN32" s="207"/>
      <c r="HO32" s="207"/>
      <c r="HP32" s="212"/>
      <c r="HQ32" s="212"/>
      <c r="HR32" s="212"/>
      <c r="HS32" s="212"/>
      <c r="HT32" s="212"/>
      <c r="HU32" s="212"/>
      <c r="HV32" s="212"/>
      <c r="HW32" s="212"/>
      <c r="HX32" s="212"/>
      <c r="HY32" s="212"/>
      <c r="HZ32" s="212"/>
      <c r="IA32" s="207"/>
      <c r="IB32" s="207"/>
      <c r="IC32" s="212"/>
      <c r="ID32" s="212"/>
      <c r="IE32" s="212"/>
      <c r="IF32" s="212"/>
      <c r="IG32" s="212"/>
      <c r="IH32" s="212"/>
      <c r="II32" s="212"/>
      <c r="IJ32" s="212"/>
      <c r="IK32" s="212"/>
      <c r="IL32" s="212"/>
      <c r="IM32" s="212"/>
      <c r="IN32" s="207"/>
      <c r="IO32" s="207"/>
      <c r="IP32" s="212"/>
      <c r="IQ32" s="212"/>
      <c r="IR32" s="212"/>
      <c r="IS32" s="212"/>
      <c r="IT32" s="212"/>
      <c r="IU32" s="212"/>
      <c r="IV32" s="212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285"/>
      <c r="AA37" s="207"/>
      <c r="AB37" s="207"/>
      <c r="AC37" s="284"/>
      <c r="AD37" s="284"/>
      <c r="AE37" s="284"/>
      <c r="AF37" s="284"/>
      <c r="AG37" s="284"/>
      <c r="AH37" s="284"/>
      <c r="AI37" s="284"/>
      <c r="AJ37" s="284"/>
      <c r="AK37" s="284"/>
      <c r="AL37" s="284"/>
      <c r="AM37" s="284"/>
      <c r="AN37" s="207"/>
      <c r="AO37" s="207"/>
      <c r="AP37" s="284"/>
      <c r="AQ37" s="284"/>
      <c r="AR37" s="284"/>
      <c r="AS37" s="284"/>
      <c r="AT37" s="284"/>
      <c r="AU37" s="284"/>
      <c r="AV37" s="284"/>
      <c r="AW37" s="284"/>
      <c r="AX37" s="284"/>
      <c r="AY37" s="284"/>
      <c r="AZ37" s="284"/>
      <c r="BA37" s="207"/>
      <c r="BB37" s="207"/>
      <c r="BC37" s="284"/>
      <c r="BD37" s="284"/>
      <c r="BE37" s="284"/>
      <c r="BF37" s="284"/>
      <c r="BG37" s="284"/>
      <c r="BH37" s="284"/>
      <c r="BI37" s="284"/>
      <c r="BJ37" s="284"/>
      <c r="BK37" s="284"/>
      <c r="BL37" s="284"/>
      <c r="BM37" s="284"/>
      <c r="BN37" s="207"/>
      <c r="BO37" s="207"/>
      <c r="BP37" s="284"/>
      <c r="BQ37" s="284"/>
      <c r="BR37" s="284"/>
      <c r="BS37" s="284"/>
      <c r="BT37" s="284"/>
      <c r="BU37" s="284"/>
      <c r="BV37" s="284"/>
      <c r="BW37" s="284"/>
      <c r="BX37" s="284"/>
      <c r="BY37" s="284"/>
      <c r="BZ37" s="284"/>
      <c r="CA37" s="207"/>
      <c r="CB37" s="207"/>
      <c r="CC37" s="284"/>
      <c r="CD37" s="284"/>
      <c r="CE37" s="284"/>
      <c r="CF37" s="284"/>
      <c r="CG37" s="284"/>
      <c r="CH37" s="284"/>
      <c r="CI37" s="284"/>
      <c r="CJ37" s="284"/>
      <c r="CK37" s="284"/>
      <c r="CL37" s="284"/>
      <c r="CM37" s="284"/>
      <c r="CN37" s="207"/>
      <c r="CO37" s="207"/>
      <c r="CP37" s="284"/>
      <c r="CQ37" s="284"/>
      <c r="CR37" s="284"/>
      <c r="CS37" s="284"/>
      <c r="CT37" s="284"/>
      <c r="CU37" s="284"/>
      <c r="CV37" s="284"/>
      <c r="CW37" s="284"/>
      <c r="CX37" s="284"/>
      <c r="CY37" s="284"/>
      <c r="CZ37" s="284"/>
      <c r="DA37" s="207"/>
      <c r="DB37" s="207"/>
      <c r="DC37" s="284"/>
      <c r="DD37" s="284"/>
      <c r="DE37" s="284"/>
      <c r="DF37" s="284"/>
      <c r="DG37" s="284"/>
      <c r="DH37" s="284"/>
      <c r="DI37" s="284"/>
      <c r="DJ37" s="284"/>
      <c r="DK37" s="284"/>
      <c r="DL37" s="284"/>
      <c r="DM37" s="284"/>
      <c r="DN37" s="207"/>
      <c r="DO37" s="207"/>
      <c r="DP37" s="284"/>
      <c r="DQ37" s="284"/>
      <c r="DR37" s="284"/>
      <c r="DS37" s="284"/>
      <c r="DT37" s="284"/>
      <c r="DU37" s="284"/>
      <c r="DV37" s="284"/>
      <c r="DW37" s="284"/>
      <c r="DX37" s="284"/>
      <c r="DY37" s="284"/>
      <c r="DZ37" s="284"/>
      <c r="EA37" s="207"/>
      <c r="EB37" s="207"/>
      <c r="EC37" s="284"/>
      <c r="ED37" s="284"/>
      <c r="EE37" s="284"/>
      <c r="EF37" s="284"/>
      <c r="EG37" s="284"/>
      <c r="EH37" s="284"/>
      <c r="EI37" s="284"/>
      <c r="EJ37" s="284"/>
      <c r="EK37" s="284"/>
      <c r="EL37" s="284"/>
      <c r="EM37" s="284"/>
      <c r="EN37" s="207"/>
      <c r="EO37" s="207"/>
      <c r="EP37" s="284"/>
      <c r="EQ37" s="284"/>
      <c r="ER37" s="284"/>
      <c r="ES37" s="284"/>
      <c r="ET37" s="284"/>
      <c r="EU37" s="284"/>
      <c r="EV37" s="284"/>
      <c r="EW37" s="284"/>
      <c r="EX37" s="284"/>
      <c r="EY37" s="284"/>
      <c r="EZ37" s="284"/>
      <c r="FA37" s="207"/>
      <c r="FB37" s="207"/>
      <c r="FC37" s="284"/>
      <c r="FD37" s="284"/>
      <c r="FE37" s="284"/>
      <c r="FF37" s="284"/>
      <c r="FG37" s="284"/>
      <c r="FH37" s="284"/>
      <c r="FI37" s="284"/>
      <c r="FJ37" s="284"/>
      <c r="FK37" s="284"/>
      <c r="FL37" s="284"/>
      <c r="FM37" s="284"/>
      <c r="FN37" s="207"/>
      <c r="FO37" s="207"/>
      <c r="FP37" s="284"/>
      <c r="FQ37" s="284"/>
      <c r="FR37" s="284"/>
      <c r="FS37" s="284"/>
      <c r="FT37" s="284"/>
      <c r="FU37" s="284"/>
      <c r="FV37" s="284"/>
      <c r="FW37" s="284"/>
      <c r="FX37" s="284"/>
      <c r="FY37" s="284"/>
      <c r="FZ37" s="284"/>
      <c r="GA37" s="207"/>
      <c r="GB37" s="207"/>
      <c r="GC37" s="284"/>
      <c r="GD37" s="284"/>
      <c r="GE37" s="284"/>
      <c r="GF37" s="284"/>
      <c r="GG37" s="284"/>
      <c r="GH37" s="284"/>
      <c r="GI37" s="284"/>
      <c r="GJ37" s="284"/>
      <c r="GK37" s="284"/>
      <c r="GL37" s="284"/>
      <c r="GM37" s="284"/>
      <c r="GN37" s="207"/>
      <c r="GO37" s="207"/>
      <c r="GP37" s="284"/>
      <c r="GQ37" s="284"/>
      <c r="GR37" s="284"/>
      <c r="GS37" s="284"/>
      <c r="GT37" s="284"/>
      <c r="GU37" s="284"/>
      <c r="GV37" s="284"/>
      <c r="GW37" s="284"/>
      <c r="GX37" s="284"/>
      <c r="GY37" s="284"/>
      <c r="GZ37" s="284"/>
      <c r="HA37" s="207"/>
      <c r="HB37" s="207"/>
      <c r="HC37" s="284"/>
      <c r="HD37" s="284"/>
      <c r="HE37" s="284"/>
      <c r="HF37" s="284"/>
      <c r="HG37" s="284"/>
      <c r="HH37" s="284"/>
      <c r="HI37" s="284"/>
      <c r="HJ37" s="284"/>
      <c r="HK37" s="284"/>
      <c r="HL37" s="284"/>
      <c r="HM37" s="284"/>
      <c r="HN37" s="207"/>
      <c r="HO37" s="207"/>
      <c r="HP37" s="284"/>
      <c r="HQ37" s="284"/>
      <c r="HR37" s="284"/>
      <c r="HS37" s="284"/>
      <c r="HT37" s="284"/>
      <c r="HU37" s="284"/>
      <c r="HV37" s="284"/>
      <c r="HW37" s="284"/>
      <c r="HX37" s="284"/>
      <c r="HY37" s="284"/>
      <c r="HZ37" s="284"/>
      <c r="IA37" s="207"/>
      <c r="IB37" s="207"/>
      <c r="IC37" s="284"/>
      <c r="ID37" s="284"/>
      <c r="IE37" s="284"/>
      <c r="IF37" s="284"/>
      <c r="IG37" s="284"/>
      <c r="IH37" s="284"/>
      <c r="II37" s="284"/>
      <c r="IJ37" s="284"/>
      <c r="IK37" s="284"/>
      <c r="IL37" s="284"/>
      <c r="IM37" s="284"/>
      <c r="IN37" s="207"/>
      <c r="IO37" s="207"/>
      <c r="IP37" s="284"/>
      <c r="IQ37" s="284"/>
      <c r="IR37" s="284"/>
      <c r="IS37" s="284"/>
      <c r="IT37" s="284"/>
      <c r="IU37" s="284"/>
      <c r="IV37" s="284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07"/>
      <c r="AB40" s="207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07"/>
      <c r="AO40" s="207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07"/>
      <c r="BB40" s="207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07"/>
      <c r="BO40" s="207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07"/>
      <c r="CB40" s="207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07"/>
      <c r="CO40" s="207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07"/>
      <c r="DB40" s="207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07"/>
      <c r="DO40" s="207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07"/>
      <c r="EB40" s="207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07"/>
      <c r="EO40" s="207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07"/>
      <c r="FB40" s="207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07"/>
      <c r="FO40" s="207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07"/>
      <c r="GB40" s="207"/>
      <c r="GC40" s="212"/>
      <c r="GD40" s="212"/>
      <c r="GE40" s="212"/>
      <c r="GF40" s="212"/>
      <c r="GG40" s="212"/>
      <c r="GH40" s="212"/>
      <c r="GI40" s="212"/>
      <c r="GJ40" s="212"/>
      <c r="GK40" s="212"/>
      <c r="GL40" s="212"/>
      <c r="GM40" s="212"/>
      <c r="GN40" s="207"/>
      <c r="GO40" s="207"/>
      <c r="GP40" s="212"/>
      <c r="GQ40" s="212"/>
      <c r="GR40" s="212"/>
      <c r="GS40" s="212"/>
      <c r="GT40" s="212"/>
      <c r="GU40" s="212"/>
      <c r="GV40" s="212"/>
      <c r="GW40" s="212"/>
      <c r="GX40" s="212"/>
      <c r="GY40" s="212"/>
      <c r="GZ40" s="212"/>
      <c r="HA40" s="207"/>
      <c r="HB40" s="207"/>
      <c r="HC40" s="212"/>
      <c r="HD40" s="212"/>
      <c r="HE40" s="212"/>
      <c r="HF40" s="212"/>
      <c r="HG40" s="212"/>
      <c r="HH40" s="212"/>
      <c r="HI40" s="212"/>
      <c r="HJ40" s="212"/>
      <c r="HK40" s="212"/>
      <c r="HL40" s="212"/>
      <c r="HM40" s="212"/>
      <c r="HN40" s="207"/>
      <c r="HO40" s="207"/>
      <c r="HP40" s="212"/>
      <c r="HQ40" s="212"/>
      <c r="HR40" s="212"/>
      <c r="HS40" s="212"/>
      <c r="HT40" s="212"/>
      <c r="HU40" s="212"/>
      <c r="HV40" s="212"/>
      <c r="HW40" s="212"/>
      <c r="HX40" s="212"/>
      <c r="HY40" s="212"/>
      <c r="HZ40" s="212"/>
      <c r="IA40" s="207"/>
      <c r="IB40" s="207"/>
      <c r="IC40" s="212"/>
      <c r="ID40" s="212"/>
      <c r="IE40" s="212"/>
      <c r="IF40" s="212"/>
      <c r="IG40" s="212"/>
      <c r="IH40" s="212"/>
      <c r="II40" s="212"/>
      <c r="IJ40" s="212"/>
      <c r="IK40" s="212"/>
      <c r="IL40" s="212"/>
      <c r="IM40" s="212"/>
      <c r="IN40" s="207"/>
      <c r="IO40" s="207"/>
      <c r="IP40" s="212"/>
      <c r="IQ40" s="212"/>
      <c r="IR40" s="212"/>
      <c r="IS40" s="212"/>
      <c r="IT40" s="212"/>
      <c r="IU40" s="212"/>
      <c r="IV40" s="212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</row>
    <row r="59" spans="1:2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ht="12" thickBot="1" x14ac:dyDescent="0.25">
      <c r="A69" s="220"/>
      <c r="B69" s="22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2"/>
    </row>
    <row r="70" spans="1:13" ht="12" thickTop="1" x14ac:dyDescent="0.2">
      <c r="A70" s="208"/>
      <c r="B70" s="208"/>
      <c r="C70" s="209"/>
      <c r="D70" s="209"/>
      <c r="E70" s="209"/>
      <c r="F70" s="209"/>
      <c r="G70" s="209"/>
      <c r="H70" s="209"/>
      <c r="I70" s="209"/>
      <c r="J70" s="209"/>
      <c r="K70" s="209"/>
      <c r="L70" s="209"/>
    </row>
    <row r="71" spans="1:13" ht="12.75" x14ac:dyDescent="0.2">
      <c r="A71" s="303" t="s">
        <v>848</v>
      </c>
      <c r="B71" s="303"/>
      <c r="C71" s="303"/>
      <c r="D71" s="303"/>
      <c r="E71" s="303"/>
      <c r="F71" s="126"/>
      <c r="G71" s="126"/>
      <c r="H71" s="126"/>
      <c r="I71" s="126"/>
      <c r="J71" s="126"/>
      <c r="K71" s="126"/>
      <c r="L71" s="126"/>
      <c r="M71" s="126"/>
    </row>
    <row r="72" spans="1:13" x14ac:dyDescent="0.2">
      <c r="A72" s="210" t="s">
        <v>768</v>
      </c>
      <c r="B72" s="210" t="s">
        <v>769</v>
      </c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</row>
    <row r="73" spans="1:13" x14ac:dyDescent="0.2">
      <c r="A73" s="211"/>
      <c r="B73" s="211"/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</sheetData>
  <mergeCells count="222">
    <mergeCell ref="C75:M75"/>
    <mergeCell ref="C65:M65"/>
    <mergeCell ref="C69:M69"/>
    <mergeCell ref="A71:E71"/>
    <mergeCell ref="C72:M72"/>
    <mergeCell ref="C73:M73"/>
    <mergeCell ref="C60:M60"/>
    <mergeCell ref="C52:M52"/>
    <mergeCell ref="C53:M53"/>
    <mergeCell ref="C54:M54"/>
    <mergeCell ref="C74:M74"/>
    <mergeCell ref="C66:M66"/>
    <mergeCell ref="C67:M67"/>
    <mergeCell ref="C68:M68"/>
    <mergeCell ref="C86:M86"/>
    <mergeCell ref="C87:M87"/>
    <mergeCell ref="C88:M88"/>
    <mergeCell ref="C89:M89"/>
    <mergeCell ref="C82:M82"/>
    <mergeCell ref="C83:M83"/>
    <mergeCell ref="C84:M84"/>
    <mergeCell ref="C85:M85"/>
    <mergeCell ref="C76:M76"/>
    <mergeCell ref="C77:M77"/>
    <mergeCell ref="C78:M78"/>
    <mergeCell ref="C79:M79"/>
    <mergeCell ref="C80:M80"/>
    <mergeCell ref="C81:M81"/>
    <mergeCell ref="C51:M51"/>
    <mergeCell ref="C49:M49"/>
    <mergeCell ref="C46:M46"/>
    <mergeCell ref="C47:M47"/>
    <mergeCell ref="C48:M48"/>
    <mergeCell ref="C50:M50"/>
    <mergeCell ref="C62:M62"/>
    <mergeCell ref="C63:M63"/>
    <mergeCell ref="C64:M64"/>
    <mergeCell ref="C55:M55"/>
    <mergeCell ref="C56:M56"/>
    <mergeCell ref="C58:M58"/>
    <mergeCell ref="C59:M59"/>
    <mergeCell ref="C57:M57"/>
    <mergeCell ref="C61:M61"/>
    <mergeCell ref="C38:M38"/>
    <mergeCell ref="C39:M39"/>
    <mergeCell ref="C20:M20"/>
    <mergeCell ref="C21:M21"/>
    <mergeCell ref="C22:M22"/>
    <mergeCell ref="C23:M23"/>
    <mergeCell ref="C28:M28"/>
    <mergeCell ref="C24:M24"/>
    <mergeCell ref="C25:M25"/>
    <mergeCell ref="C26:M26"/>
    <mergeCell ref="C27:M27"/>
    <mergeCell ref="C33:M33"/>
    <mergeCell ref="C34:M34"/>
    <mergeCell ref="C35:M35"/>
    <mergeCell ref="C37:M37"/>
    <mergeCell ref="DP28:DZ28"/>
    <mergeCell ref="CC29:CM29"/>
    <mergeCell ref="BC29:BM29"/>
    <mergeCell ref="BP29:BZ29"/>
    <mergeCell ref="DC29:DM29"/>
    <mergeCell ref="DP29:DZ29"/>
    <mergeCell ref="CC31:CM31"/>
    <mergeCell ref="C13:M13"/>
    <mergeCell ref="C14:M14"/>
    <mergeCell ref="C15:M15"/>
    <mergeCell ref="C16:M16"/>
    <mergeCell ref="C17:M17"/>
    <mergeCell ref="C18:M18"/>
    <mergeCell ref="C19:M19"/>
    <mergeCell ref="DC28:DM28"/>
    <mergeCell ref="AP28:AZ28"/>
    <mergeCell ref="C31:M31"/>
    <mergeCell ref="C29:M29"/>
    <mergeCell ref="C30:M30"/>
    <mergeCell ref="P30:Z30"/>
    <mergeCell ref="AC30:AM30"/>
    <mergeCell ref="AP30:AZ30"/>
    <mergeCell ref="P31:Z31"/>
    <mergeCell ref="DC31:DM31"/>
    <mergeCell ref="A1:I1"/>
    <mergeCell ref="C3:M3"/>
    <mergeCell ref="F2:I2"/>
    <mergeCell ref="P28:Z28"/>
    <mergeCell ref="AC28:AM28"/>
    <mergeCell ref="BC28:BM28"/>
    <mergeCell ref="BP28:BZ28"/>
    <mergeCell ref="CC28:CM28"/>
    <mergeCell ref="A2:E2"/>
    <mergeCell ref="C4:M4"/>
    <mergeCell ref="C5:M5"/>
    <mergeCell ref="C6:M6"/>
    <mergeCell ref="C7:M7"/>
    <mergeCell ref="C12:M12"/>
    <mergeCell ref="C8:M8"/>
    <mergeCell ref="C9:M9"/>
    <mergeCell ref="C10:M10"/>
    <mergeCell ref="C11:M11"/>
    <mergeCell ref="HP28:HZ28"/>
    <mergeCell ref="IC28:IM28"/>
    <mergeCell ref="IP28:IV28"/>
    <mergeCell ref="C41:M41"/>
    <mergeCell ref="P29:Z29"/>
    <mergeCell ref="AC29:AM29"/>
    <mergeCell ref="AP29:AZ29"/>
    <mergeCell ref="C40:M40"/>
    <mergeCell ref="C32:M32"/>
    <mergeCell ref="C36:M36"/>
    <mergeCell ref="GC29:GM29"/>
    <mergeCell ref="GP29:GZ29"/>
    <mergeCell ref="FP28:FZ28"/>
    <mergeCell ref="GC28:GM28"/>
    <mergeCell ref="GP28:GZ28"/>
    <mergeCell ref="HC28:HM28"/>
    <mergeCell ref="IC30:IM30"/>
    <mergeCell ref="IP30:IV30"/>
    <mergeCell ref="CP31:CZ31"/>
    <mergeCell ref="CP29:CZ29"/>
    <mergeCell ref="EC28:EM28"/>
    <mergeCell ref="EP28:EZ28"/>
    <mergeCell ref="FC28:FM28"/>
    <mergeCell ref="CP28:CZ28"/>
    <mergeCell ref="IC29:IM29"/>
    <mergeCell ref="IP29:IV29"/>
    <mergeCell ref="AP39:AZ39"/>
    <mergeCell ref="BC30:BM30"/>
    <mergeCell ref="BC31:BM31"/>
    <mergeCell ref="BC38:BM38"/>
    <mergeCell ref="BP30:BZ30"/>
    <mergeCell ref="CC30:CM30"/>
    <mergeCell ref="CP30:CZ30"/>
    <mergeCell ref="FP31:FZ31"/>
    <mergeCell ref="GC31:GM31"/>
    <mergeCell ref="DC37:DM37"/>
    <mergeCell ref="DP37:DZ37"/>
    <mergeCell ref="EC37:EM37"/>
    <mergeCell ref="HC29:HM29"/>
    <mergeCell ref="DC30:DM30"/>
    <mergeCell ref="DP30:DZ30"/>
    <mergeCell ref="EC30:EM30"/>
    <mergeCell ref="EP30:EZ30"/>
    <mergeCell ref="GP31:GZ31"/>
    <mergeCell ref="BP37:BZ37"/>
    <mergeCell ref="CC37:CM37"/>
    <mergeCell ref="EC29:EM29"/>
    <mergeCell ref="EP29:EZ29"/>
    <mergeCell ref="DP31:DZ31"/>
    <mergeCell ref="EC31:EM31"/>
    <mergeCell ref="EP31:EZ31"/>
    <mergeCell ref="FC31:FM31"/>
    <mergeCell ref="AC31:AM31"/>
    <mergeCell ref="AP31:AZ31"/>
    <mergeCell ref="HP30:HZ30"/>
    <mergeCell ref="HP29:HZ29"/>
    <mergeCell ref="FC29:FM29"/>
    <mergeCell ref="FP29:FZ29"/>
    <mergeCell ref="FC30:FM30"/>
    <mergeCell ref="FP30:FZ30"/>
    <mergeCell ref="GC30:GM30"/>
    <mergeCell ref="GP30:GZ30"/>
    <mergeCell ref="HC30:HM30"/>
    <mergeCell ref="BP31:BZ31"/>
    <mergeCell ref="HP31:HZ31"/>
    <mergeCell ref="IC31:IM31"/>
    <mergeCell ref="IP31:IV31"/>
    <mergeCell ref="EP37:EZ37"/>
    <mergeCell ref="FC37:FM37"/>
    <mergeCell ref="FP37:FZ37"/>
    <mergeCell ref="GC37:GM37"/>
    <mergeCell ref="GP37:GZ37"/>
    <mergeCell ref="HC37:HM37"/>
    <mergeCell ref="HC31:HM31"/>
    <mergeCell ref="P37:Z37"/>
    <mergeCell ref="AC37:AM37"/>
    <mergeCell ref="AP37:AZ37"/>
    <mergeCell ref="HP37:HZ37"/>
    <mergeCell ref="IC37:IM37"/>
    <mergeCell ref="IP37:IV37"/>
    <mergeCell ref="CP37:CZ37"/>
    <mergeCell ref="BC37:BM37"/>
    <mergeCell ref="P38:Z38"/>
    <mergeCell ref="AC38:AM38"/>
    <mergeCell ref="AP38:AZ38"/>
    <mergeCell ref="HP38:HZ38"/>
    <mergeCell ref="IC38:IM38"/>
    <mergeCell ref="BP38:BZ38"/>
    <mergeCell ref="CC38:CM38"/>
    <mergeCell ref="CP38:CZ38"/>
    <mergeCell ref="HC38:HM38"/>
    <mergeCell ref="DC38:DM38"/>
    <mergeCell ref="DP38:DZ38"/>
    <mergeCell ref="EC38:EM38"/>
    <mergeCell ref="GC38:GM38"/>
    <mergeCell ref="IP38:IV38"/>
    <mergeCell ref="EP38:EZ38"/>
    <mergeCell ref="FC38:FM38"/>
    <mergeCell ref="FP38:FZ38"/>
    <mergeCell ref="GP38:GZ38"/>
    <mergeCell ref="P39:Z39"/>
    <mergeCell ref="AC39:AM39"/>
    <mergeCell ref="IP39:IV39"/>
    <mergeCell ref="C44:M44"/>
    <mergeCell ref="C45:M45"/>
    <mergeCell ref="GC39:GM39"/>
    <mergeCell ref="GP39:GZ39"/>
    <mergeCell ref="HC39:HM39"/>
    <mergeCell ref="HP39:HZ39"/>
    <mergeCell ref="EC39:EM39"/>
    <mergeCell ref="C43:M43"/>
    <mergeCell ref="DP39:DZ39"/>
    <mergeCell ref="IC39:IM39"/>
    <mergeCell ref="C42:M42"/>
    <mergeCell ref="BC39:BM39"/>
    <mergeCell ref="BP39:BZ39"/>
    <mergeCell ref="FC39:FM39"/>
    <mergeCell ref="FP39:FZ39"/>
    <mergeCell ref="CC39:CM39"/>
    <mergeCell ref="CP39:CZ39"/>
    <mergeCell ref="DC39:DM39"/>
    <mergeCell ref="EP39:EZ3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2016-11-14T18:00:30Z</cp:lastPrinted>
  <dcterms:created xsi:type="dcterms:W3CDTF">1997-12-04T19:04:30Z</dcterms:created>
  <dcterms:modified xsi:type="dcterms:W3CDTF">2016-12-01T18:42:33Z</dcterms:modified>
</cp:coreProperties>
</file>