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20685" windowHeight="113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7" i="1" l="1"/>
  <c r="H207" i="1" l="1"/>
  <c r="F12" i="1"/>
  <c r="K531" i="1" l="1"/>
  <c r="J521" i="1"/>
  <c r="I521" i="1"/>
  <c r="H521" i="1"/>
  <c r="G521" i="1"/>
  <c r="F521" i="1"/>
  <c r="C10" i="12"/>
  <c r="C11" i="12"/>
  <c r="C19" i="12"/>
  <c r="C12" i="12"/>
  <c r="C37" i="12"/>
  <c r="G526" i="1"/>
  <c r="F526" i="1"/>
  <c r="C21" i="12"/>
  <c r="C20" i="12"/>
  <c r="G202" i="1"/>
  <c r="B39" i="12"/>
  <c r="B37" i="12"/>
  <c r="B21" i="12"/>
  <c r="B20" i="12"/>
  <c r="B19" i="12"/>
  <c r="B11" i="12"/>
  <c r="B10" i="12"/>
  <c r="H604" i="1" l="1"/>
  <c r="I200" i="1"/>
  <c r="K200" i="1"/>
  <c r="J200" i="1"/>
  <c r="H200" i="1"/>
  <c r="I198" i="1"/>
  <c r="J197" i="1"/>
  <c r="I197" i="1"/>
  <c r="J203" i="1"/>
  <c r="I203" i="1"/>
  <c r="I202" i="1"/>
  <c r="H208" i="1"/>
  <c r="H204" i="1"/>
  <c r="H203" i="1"/>
  <c r="F203" i="1"/>
  <c r="F202" i="1"/>
  <c r="F186" i="1"/>
  <c r="F110" i="1"/>
  <c r="F29" i="1"/>
  <c r="F49" i="1"/>
  <c r="F24" i="1"/>
  <c r="F9" i="1"/>
  <c r="K283" i="1"/>
  <c r="H472" i="1"/>
  <c r="I277" i="1"/>
  <c r="G283" i="1"/>
  <c r="G282" i="1"/>
  <c r="F282" i="1"/>
  <c r="G279" i="1"/>
  <c r="G277" i="1"/>
  <c r="I276" i="1"/>
  <c r="H276" i="1"/>
  <c r="G276" i="1"/>
  <c r="F276" i="1"/>
  <c r="H159" i="1"/>
  <c r="H155" i="1"/>
  <c r="H154" i="1"/>
  <c r="J468" i="1"/>
  <c r="H396" i="1"/>
  <c r="F368" i="1"/>
  <c r="F367" i="1"/>
  <c r="I358" i="1"/>
  <c r="J96" i="1"/>
  <c r="H358" i="1"/>
  <c r="F358" i="1"/>
  <c r="G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J644" i="1" s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164" i="2"/>
  <c r="C18" i="2"/>
  <c r="C26" i="10"/>
  <c r="L328" i="1"/>
  <c r="H660" i="1" s="1"/>
  <c r="H664" i="1" s="1"/>
  <c r="L351" i="1"/>
  <c r="I662" i="1"/>
  <c r="L290" i="1"/>
  <c r="F660" i="1" s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L393" i="1"/>
  <c r="C138" i="2" s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H33" i="13"/>
  <c r="C128" i="2" l="1"/>
  <c r="E16" i="13"/>
  <c r="C16" i="13" s="1"/>
  <c r="C81" i="2"/>
  <c r="C62" i="2"/>
  <c r="C63" i="2" s="1"/>
  <c r="F664" i="1"/>
  <c r="I661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G672" i="1" l="1"/>
  <c r="C5" i="10" s="1"/>
  <c r="E33" i="13"/>
  <c r="D35" i="13" s="1"/>
  <c r="C104" i="2"/>
  <c r="D31" i="13"/>
  <c r="C31" i="13" s="1"/>
  <c r="F672" i="1"/>
  <c r="C4" i="10" s="1"/>
  <c r="F667" i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<sst xmlns="http://schemas.openxmlformats.org/spreadsheetml/2006/main" count="3959" uniqueCount="917">
  <si>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</si>
  <si>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</si>
  <si>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</si>
  <si>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</si>
  <si>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</si>
  <si>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</si>
  <si>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</si>
  <si>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</si>
  <si>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</si>
  <si>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</si>
  <si>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</si>
  <si>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</si>
  <si>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</si>
  <si>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</si>
  <si>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</si>
  <si>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</si>
  <si>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</si>
  <si>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</si>
  <si>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</si>
  <si>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</si>
  <si>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</si>
  <si>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</si>
  <si>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</si>
  <si>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</si>
  <si>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</si>
  <si>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</si>
  <si>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</si>
  <si>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</si>
  <si>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</si>
  <si>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</si>
  <si>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</si>
  <si>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</si>
  <si>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</si>
  <si>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</si>
  <si>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</si>
  <si>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</si>
  <si>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</si>
  <si>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</si>
  <si>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</si>
  <si>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</si>
  <si>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</si>
  <si>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</si>
  <si>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</si>
  <si>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</si>
  <si>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</si>
  <si>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</si>
  <si>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</si>
  <si>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</si>
  <si>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</si>
  <si>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</si>
  <si>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</si>
  <si>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</si>
  <si>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</si>
  <si>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</si>
  <si>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</si>
  <si>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</si>
  <si>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</si>
  <si>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</si>
  <si>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</si>
  <si>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</si>
  <si>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</si>
  <si>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</si>
  <si>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</si>
  <si>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</si>
  <si>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</si>
  <si>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</si>
  <si>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</si>
  <si>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</si>
  <si>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</si>
  <si>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</si>
  <si>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</si>
  <si>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</si>
  <si>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</si>
  <si>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</si>
  <si>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</si>
  <si>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</si>
  <si>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</si>
  <si>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</si>
  <si>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</si>
  <si>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</si>
  <si>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</si>
  <si>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</si>
  <si>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</si>
  <si>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</si>
  <si>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</si>
  <si>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</si>
  <si>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</si>
  <si>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</si>
  <si>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</si>
  <si>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</si>
  <si>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</si>
  <si>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</si>
  <si>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</si>
  <si>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</si>
  <si>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</si>
  <si>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</si>
  <si>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</si>
  <si>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</si>
  <si>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</si>
  <si>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</si>
  <si>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</si>
  <si>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</si>
  <si>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</si>
  <si>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</si>
  <si>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</si>
  <si>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</si>
  <si>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</si>
  <si>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</si>
  <si>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</si>
  <si>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</si>
  <si>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</si>
  <si>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</si>
  <si>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</si>
  <si>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</si>
  <si>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</si>
  <si>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</si>
  <si>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</si>
  <si>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</si>
  <si>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</si>
  <si>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</si>
  <si>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</si>
  <si>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</si>
  <si>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</si>
  <si>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</si>
  <si>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</si>
  <si>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</si>
  <si>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</si>
  <si>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</si>
  <si>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</si>
  <si>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</si>
  <si>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</si>
  <si>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</si>
  <si>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</si>
  <si>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</si>
  <si>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</si>
  <si>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</si>
  <si>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</si>
  <si>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</si>
  <si>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</si>
  <si>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</si>
  <si>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</si>
  <si>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</si>
  <si>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</si>
  <si>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</si>
  <si>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</si>
  <si>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</si>
  <si>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</si>
  <si>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</si>
  <si>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</si>
  <si>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</si>
  <si>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</si>
  <si>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</si>
  <si>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</si>
  <si>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</si>
  <si>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</si>
  <si>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</si>
  <si>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</si>
  <si>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</si>
  <si>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</si>
  <si>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</si>
  <si>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</si>
  <si>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</si>
  <si>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</si>
  <si>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</si>
  <si>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</si>
  <si>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</si>
  <si>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</si>
  <si>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</si>
  <si>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</si>
  <si>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</si>
  <si>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</si>
  <si>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</si>
  <si>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</si>
  <si>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</si>
  <si>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</si>
  <si>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</si>
  <si>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</si>
  <si>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</si>
  <si>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</si>
  <si>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</si>
  <si>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</si>
  <si>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</si>
  <si>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</si>
  <si>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</si>
  <si>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</si>
  <si>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</si>
  <si>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</si>
  <si>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</si>
  <si>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</si>
  <si>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</si>
  <si>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</si>
  <si>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</si>
  <si>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</si>
  <si>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</si>
  <si>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</si>
  <si>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</si>
  <si>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</si>
  <si>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</si>
  <si>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</si>
  <si>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</si>
  <si>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</si>
  <si>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</si>
  <si>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</si>
  <si>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</si>
  <si>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</si>
  <si>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</si>
  <si>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</si>
  <si>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</si>
  <si>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</si>
  <si>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</si>
  <si>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</si>
  <si>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</si>
  <si>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</si>
  <si>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</si>
  <si>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</si>
  <si>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</si>
  <si>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</si>
  <si>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</si>
  <si>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</si>
  <si>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</si>
  <si>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</si>
  <si>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</si>
  <si>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</si>
  <si>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</si>
  <si>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</si>
  <si>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</si>
  <si>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</si>
  <si>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</si>
  <si>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</si>
  <si>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</si>
  <si>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</si>
  <si>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</si>
  <si>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</si>
  <si>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</si>
  <si>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</si>
  <si>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</si>
  <si>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</si>
  <si>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</si>
  <si>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</si>
  <si>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</si>
  <si>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</si>
  <si>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</si>
  <si>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</si>
  <si>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</si>
  <si>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</si>
  <si>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</si>
  <si>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</si>
  <si>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</si>
  <si>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</si>
  <si>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</si>
  <si>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</si>
  <si>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</si>
  <si>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</si>
  <si>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</si>
  <si>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</si>
  <si>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</si>
  <si>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</si>
  <si>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</si>
  <si>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</si>
  <si>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</si>
  <si>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</si>
  <si>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</si>
  <si>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</si>
  <si>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</si>
  <si>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</si>
  <si>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</si>
  <si>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</si>
  <si>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</si>
  <si>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</si>
  <si>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</si>
  <si>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</si>
  <si>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</si>
  <si>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</si>
  <si>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</si>
  <si>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</si>
  <si>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</si>
  <si>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</si>
  <si>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</si>
  <si>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</si>
  <si>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</si>
  <si>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</si>
  <si>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</si>
  <si>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</si>
  <si>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</si>
  <si>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</si>
  <si>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</si>
  <si>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</si>
  <si>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</si>
  <si>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</si>
  <si>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</si>
  <si>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</si>
  <si>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</si>
  <si>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</si>
  <si>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</si>
  <si>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</si>
  <si>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</si>
  <si>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</si>
  <si>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</si>
  <si>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</si>
  <si>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</si>
  <si>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</si>
  <si>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</si>
  <si>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</si>
  <si>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</si>
  <si>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</si>
  <si>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</si>
  <si>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</si>
  <si>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</si>
  <si>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</si>
  <si>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</si>
  <si>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</si>
  <si>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</si>
  <si>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</si>
  <si>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</si>
  <si>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</si>
  <si>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</si>
  <si>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</si>
  <si>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</si>
  <si>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</si>
  <si>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</si>
  <si>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</si>
  <si>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</si>
  <si>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</si>
  <si>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</si>
  <si>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</si>
  <si>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</si>
  <si>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</si>
  <si>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</si>
  <si>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</si>
  <si>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</si>
  <si>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</si>
  <si>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</si>
  <si>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</si>
  <si>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</si>
  <si>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</si>
  <si>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</si>
  <si>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</si>
  <si>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</si>
  <si>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</si>
  <si>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</si>
  <si>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</si>
  <si>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</si>
  <si>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</si>
  <si>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</si>
  <si>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</si>
  <si>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</si>
  <si>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</si>
  <si>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</si>
  <si>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</si>
  <si>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</si>
  <si>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</si>
  <si>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</si>
  <si>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</si>
  <si>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</si>
  <si>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</si>
  <si>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</si>
  <si>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</si>
  <si>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</si>
  <si>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</si>
  <si>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</si>
  <si>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</si>
  <si>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</si>
  <si>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</si>
  <si>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</si>
  <si>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</si>
  <si>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</si>
  <si>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</si>
  <si>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</si>
  <si>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</si>
  <si>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</si>
  <si>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</si>
  <si>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</si>
  <si>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</si>
  <si>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</si>
  <si>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</si>
  <si>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</si>
  <si>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</si>
  <si>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</si>
  <si>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</si>
  <si>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</si>
  <si>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</si>
  <si>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</si>
  <si>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</si>
  <si>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</si>
  <si>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</si>
  <si>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</si>
  <si>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</si>
  <si>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</si>
  <si>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</si>
  <si>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</si>
  <si>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</si>
  <si>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</si>
  <si>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</si>
  <si>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</si>
  <si>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</si>
  <si>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</si>
  <si>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</si>
  <si>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</si>
  <si>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</si>
  <si>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</si>
  <si>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</si>
  <si>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</si>
  <si>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</si>
  <si>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</si>
  <si>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</si>
  <si>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</si>
  <si>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</si>
  <si>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</si>
  <si>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</si>
  <si>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</si>
  <si>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</si>
  <si>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</si>
  <si>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</si>
  <si>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</si>
  <si>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</si>
  <si>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</si>
  <si>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</si>
  <si>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</si>
  <si>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</si>
  <si>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</si>
  <si>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</si>
  <si>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</si>
  <si>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</si>
  <si>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</si>
  <si>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</si>
  <si>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</si>
  <si>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</si>
  <si>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</si>
  <si>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</si>
  <si>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</si>
  <si>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</si>
  <si>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</si>
  <si>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</si>
  <si>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</si>
  <si>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</si>
  <si>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</si>
  <si>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</si>
  <si>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</si>
  <si>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</si>
  <si>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</si>
  <si>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</si>
  <si>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</si>
  <si>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</si>
  <si>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</si>
  <si>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</si>
  <si>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</si>
  <si>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</si>
  <si>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</si>
  <si>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</si>
  <si>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</si>
  <si>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</si>
  <si>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</si>
  <si>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</si>
  <si>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</si>
  <si>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</si>
  <si>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</si>
  <si>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</si>
  <si>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</si>
  <si>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</si>
  <si>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</si>
  <si>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</si>
  <si>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</si>
  <si>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</si>
  <si>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</si>
  <si>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</si>
  <si>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</si>
  <si>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</si>
  <si>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</si>
  <si>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</si>
  <si>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</si>
  <si>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</si>
  <si>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</si>
  <si>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</si>
  <si>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</si>
  <si>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</si>
  <si>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</si>
  <si>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</si>
  <si>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</si>
  <si>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</si>
  <si>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</si>
  <si>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</si>
  <si>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</si>
  <si>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</si>
  <si>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</si>
  <si>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</si>
  <si>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</si>
  <si>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</si>
  <si>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</si>
  <si>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</si>
  <si>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</si>
  <si>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</si>
  <si>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</si>
  <si>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</si>
  <si>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</si>
  <si>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</si>
  <si>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</si>
  <si>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</si>
  <si>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</si>
  <si>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</si>
  <si>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</si>
  <si>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</si>
  <si>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</si>
  <si>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</si>
  <si>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</si>
  <si>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</si>
  <si>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</si>
  <si>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</si>
  <si>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</si>
  <si>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</si>
  <si>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</si>
  <si>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</si>
  <si>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</si>
  <si>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</si>
  <si>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</si>
  <si>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</si>
  <si>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</si>
  <si>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</si>
  <si>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</si>
  <si>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</si>
  <si>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</si>
  <si>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</si>
  <si>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</si>
  <si>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</si>
  <si>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</si>
  <si>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</si>
  <si>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</si>
  <si>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</si>
  <si>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</si>
  <si>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</si>
  <si>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</si>
  <si>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</si>
  <si>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</si>
  <si>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</si>
  <si>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</si>
  <si>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</si>
  <si>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</si>
  <si>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</si>
  <si>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</si>
  <si>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</si>
  <si>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</si>
  <si>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</si>
  <si>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</si>
  <si>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</si>
  <si>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</si>
  <si>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</si>
  <si>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</si>
  <si>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</si>
  <si>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</si>
  <si>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</si>
  <si>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</si>
  <si>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</si>
  <si>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</si>
  <si>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</si>
  <si>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</si>
  <si>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</si>
  <si>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</si>
  <si>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</si>
  <si>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</si>
  <si>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</si>
  <si>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</si>
  <si>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</si>
  <si>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</si>
  <si>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</si>
  <si>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</si>
  <si>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</si>
  <si>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</si>
  <si>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</si>
  <si>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</si>
  <si>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</si>
  <si>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</si>
  <si>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</si>
  <si>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</si>
  <si>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</si>
  <si>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</si>
  <si>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</si>
  <si>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</si>
  <si>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</si>
  <si>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</si>
  <si>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</si>
  <si>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</si>
  <si>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</si>
  <si>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</si>
  <si>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</si>
  <si>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</si>
  <si>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</si>
  <si>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</si>
  <si>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</si>
  <si>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</si>
  <si>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</si>
  <si>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</si>
  <si>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</si>
  <si>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</si>
  <si>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</si>
  <si>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</si>
  <si>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</si>
  <si>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</si>
  <si>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</si>
  <si>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</si>
  <si>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</si>
  <si>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</si>
  <si>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</si>
  <si>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</si>
  <si>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</si>
  <si>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</si>
  <si>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</si>
  <si>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</si>
  <si>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</si>
  <si>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</si>
  <si>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</si>
  <si>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</si>
  <si>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</si>
  <si>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</si>
  <si>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</si>
  <si>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</si>
  <si>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</si>
  <si>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</si>
  <si>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</si>
  <si>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</si>
  <si>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</si>
  <si>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</si>
  <si>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</si>
  <si>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</si>
  <si>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</si>
  <si>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</si>
  <si>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</si>
  <si>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</si>
  <si>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</si>
  <si>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</si>
  <si>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</si>
  <si>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</si>
  <si>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</si>
  <si>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</si>
  <si>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</si>
  <si>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</si>
  <si>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</si>
  <si>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</si>
  <si>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</si>
  <si>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</si>
  <si>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</si>
  <si>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</si>
  <si>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</si>
  <si>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</si>
  <si>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</si>
  <si>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</si>
  <si>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</si>
  <si>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</si>
  <si>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</si>
  <si>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</si>
  <si>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</si>
  <si>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</si>
  <si>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</si>
  <si>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</si>
  <si>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</si>
  <si>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</si>
  <si>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</si>
  <si>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</si>
  <si>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</si>
  <si>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</si>
  <si>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</si>
  <si>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</si>
  <si>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</si>
  <si>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</si>
  <si>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</si>
  <si>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</si>
  <si>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</si>
  <si>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</si>
  <si>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</si>
  <si>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</si>
  <si>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</si>
  <si>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</si>
  <si>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</si>
  <si>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</si>
  <si>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</si>
  <si>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</si>
  <si>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</si>
  <si>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</si>
  <si>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</si>
  <si>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</si>
  <si>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</si>
  <si>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</si>
  <si>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</si>
  <si>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</si>
  <si>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</si>
  <si>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</si>
  <si>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</si>
  <si>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</si>
  <si>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</si>
  <si>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</si>
  <si>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</si>
  <si>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</si>
  <si>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</si>
  <si>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</si>
  <si>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</si>
  <si>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</si>
  <si>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</si>
  <si>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</si>
  <si>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</si>
  <si>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</si>
  <si>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</si>
  <si>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</si>
  <si>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</si>
  <si>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</si>
  <si>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</si>
  <si>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</si>
  <si>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</si>
  <si>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</si>
  <si>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</si>
  <si>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</si>
  <si>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</si>
  <si>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</si>
  <si>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</si>
  <si>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</si>
  <si>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</si>
  <si>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</si>
  <si>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</si>
  <si>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</si>
  <si>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</si>
  <si>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</si>
  <si>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</si>
  <si>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</si>
  <si>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</si>
  <si>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</si>
  <si>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</si>
  <si>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</si>
  <si>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</si>
  <si>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</si>
  <si>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</si>
  <si>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</si>
  <si>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</si>
  <si>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</si>
  <si>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</si>
  <si>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</si>
  <si>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</si>
  <si>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</si>
  <si>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</si>
  <si>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</si>
  <si>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</si>
  <si>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</si>
  <si>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</si>
  <si>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</si>
  <si>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</si>
  <si>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</si>
  <si>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</si>
  <si>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</si>
  <si>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</si>
  <si>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</si>
  <si>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</si>
  <si>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</si>
  <si>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</si>
  <si>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</si>
  <si>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</si>
  <si>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</si>
  <si>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</si>
  <si>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</si>
  <si>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</si>
  <si>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</si>
  <si>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</si>
  <si>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</si>
  <si>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</si>
  <si>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</si>
  <si>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</si>
  <si>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</si>
  <si>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</si>
  <si>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</si>
  <si>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</si>
  <si>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</si>
  <si>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</si>
  <si>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</si>
  <si>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</si>
  <si>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</si>
  <si>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</si>
  <si>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</si>
  <si>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</si>
  <si>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</si>
  <si>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</si>
  <si>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</si>
  <si>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</si>
  <si>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</si>
  <si>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</si>
  <si>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</si>
  <si>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</si>
  <si>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</si>
  <si>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</si>
  <si>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</si>
  <si>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</si>
  <si>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</si>
  <si>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</si>
  <si>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</si>
  <si>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</si>
  <si>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</si>
  <si>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</si>
  <si>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</si>
  <si>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</si>
  <si>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</si>
  <si>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</si>
  <si>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</si>
  <si>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</si>
  <si>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</si>
  <si>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</si>
  <si>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</si>
  <si>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</si>
  <si>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</si>
  <si>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</si>
  <si>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</si>
  <si>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</si>
  <si>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</si>
  <si>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</si>
  <si>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</si>
  <si>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</si>
  <si>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</si>
  <si>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</si>
  <si>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</si>
  <si>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</si>
  <si>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</si>
  <si>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</si>
  <si>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</si>
  <si>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</si>
  <si>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</si>
  <si>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</si>
  <si>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</si>
  <si>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</si>
  <si>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</si>
  <si>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</si>
  <si>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</si>
  <si>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</si>
  <si>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</si>
  <si>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</si>
  <si>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</si>
  <si>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</si>
  <si>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</si>
  <si>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</si>
  <si>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</si>
  <si>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</si>
  <si>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</si>
  <si>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</si>
  <si>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</si>
  <si>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</si>
  <si>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</si>
  <si>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</si>
  <si>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</si>
  <si>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</si>
  <si>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</si>
  <si>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</si>
  <si>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</si>
  <si>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</si>
  <si>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</si>
  <si>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</si>
  <si>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</si>
  <si>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</si>
  <si>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</si>
  <si>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</si>
  <si>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</si>
  <si>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</si>
  <si>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</si>
  <si>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</si>
  <si>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</si>
  <si>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</si>
  <si>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</si>
  <si>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</si>
  <si>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</si>
  <si>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</si>
  <si>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</si>
  <si>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</si>
  <si>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</si>
  <si>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</si>
  <si>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</si>
  <si>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</si>
  <si>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</si>
  <si>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</si>
  <si>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</si>
  <si>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</si>
  <si>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</si>
  <si>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</si>
  <si>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</si>
  <si>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</si>
  <si>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</si>
  <si>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</si>
  <si>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</si>
  <si>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</si>
  <si>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</si>
  <si>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</si>
  <si>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</si>
  <si>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</si>
  <si>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</si>
  <si>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</si>
  <si>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</si>
  <si>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</si>
  <si>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</si>
  <si>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</si>
  <si>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</si>
  <si>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</si>
  <si>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</si>
  <si>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</si>
  <si>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</si>
  <si>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</si>
  <si>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</si>
  <si>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</si>
  <si>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</si>
  <si>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</si>
  <si>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</si>
  <si>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</si>
  <si>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</si>
  <si>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</si>
  <si>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</si>
  <si>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</si>
  <si>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</si>
  <si>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</si>
  <si>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</si>
  <si>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</si>
  <si>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</si>
  <si>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</si>
  <si>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</si>
  <si>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NORTH HAMPTON</t>
  </si>
  <si>
    <t>Other local revenue includes $78,308.59 for LGC Refund</t>
  </si>
  <si>
    <t>August 2013</t>
  </si>
  <si>
    <t>August 2023</t>
  </si>
  <si>
    <t>Total fund equity adjusted to agree with 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</si>
</sst>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G582" sqref="G58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405</v>
      </c>
      <c r="C2" s="21">
        <v>405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305683.58+133.61</f>
        <v>305817.19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234007.29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528352.06-510800.23+0.71</f>
        <v>17552.540000000074</v>
      </c>
      <c r="G12" s="18">
        <v>2649.4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3728.45</v>
      </c>
      <c r="G13" s="18">
        <v>2112.06</v>
      </c>
      <c r="H13" s="18">
        <v>20849.57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4507.7700000000004</v>
      </c>
      <c r="G14" s="18">
        <v>35.5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7258.4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331605.95000000013</v>
      </c>
      <c r="G19" s="41">
        <f>SUM(G9:G18)</f>
        <v>12055.36</v>
      </c>
      <c r="H19" s="41">
        <f>SUM(H9:H18)</f>
        <v>20849.57</v>
      </c>
      <c r="I19" s="41">
        <f>SUM(I9:I18)</f>
        <v>0</v>
      </c>
      <c r="J19" s="41">
        <f>SUM(J9:J18)</f>
        <v>234007.29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20201.23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19971.34+1957.48</f>
        <v>21928.82</v>
      </c>
      <c r="G24" s="18">
        <v>314.20999999999998</v>
      </c>
      <c r="H24" s="18">
        <v>648.34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3554.87</v>
      </c>
      <c r="G28" s="18">
        <v>25.64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273.9+2663.68+31178.14+333.34</f>
        <v>34449.06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4393.9799999999996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59932.75</v>
      </c>
      <c r="G32" s="41">
        <f>SUM(G22:G31)</f>
        <v>4733.83</v>
      </c>
      <c r="H32" s="41">
        <f>SUM(H22:H31)</f>
        <v>20849.57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7258.4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63.13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16198.82</v>
      </c>
      <c r="G48" s="18"/>
      <c r="H48" s="18"/>
      <c r="I48" s="18"/>
      <c r="J48" s="13">
        <f>SUM(I459)</f>
        <v>234007.29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f>9452.46+2176</f>
        <v>11628.46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118845.92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271673.2</v>
      </c>
      <c r="G51" s="41">
        <f>SUM(G35:G50)</f>
        <v>7321.53</v>
      </c>
      <c r="H51" s="41">
        <f>SUM(H35:H50)</f>
        <v>0</v>
      </c>
      <c r="I51" s="41">
        <f>SUM(I35:I50)</f>
        <v>0</v>
      </c>
      <c r="J51" s="41">
        <f>SUM(J35:J50)</f>
        <v>234007.29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331605.95</v>
      </c>
      <c r="G52" s="41">
        <f>G51+G32</f>
        <v>12055.36</v>
      </c>
      <c r="H52" s="41">
        <f>H51+H32</f>
        <v>20849.57</v>
      </c>
      <c r="I52" s="41">
        <f>I51+I32</f>
        <v>0</v>
      </c>
      <c r="J52" s="41">
        <f>J51+J32</f>
        <v>234007.29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6146854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6146854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23788.15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23788.15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86.39</v>
      </c>
      <c r="G96" s="18"/>
      <c r="H96" s="18"/>
      <c r="I96" s="18"/>
      <c r="J96" s="18">
        <f>193.71+137.56+23.11+110.4+0.43+79.4</f>
        <v>544.61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114855.93+2093.36</f>
        <v>116949.29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29205.759999999998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37332.84+74308.59</f>
        <v>111641.43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140933.57999999999</v>
      </c>
      <c r="G111" s="41">
        <f>SUM(G96:G110)</f>
        <v>116949.29</v>
      </c>
      <c r="H111" s="41">
        <f>SUM(H96:H110)</f>
        <v>0</v>
      </c>
      <c r="I111" s="41">
        <f>SUM(I96:I110)</f>
        <v>0</v>
      </c>
      <c r="J111" s="41">
        <f>SUM(J96:J110)</f>
        <v>544.61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6311575.7300000004</v>
      </c>
      <c r="G112" s="41">
        <f>G60+G111</f>
        <v>116949.29</v>
      </c>
      <c r="H112" s="41">
        <f>H60+H79+H94+H111</f>
        <v>0</v>
      </c>
      <c r="I112" s="41">
        <f>I60+I111</f>
        <v>0</v>
      </c>
      <c r="J112" s="41">
        <f>J60+J111</f>
        <v>544.61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171163.44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1812205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1983368.44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2284.88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2284.88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1983368.44</v>
      </c>
      <c r="G140" s="41">
        <f>G121+SUM(G136:G137)</f>
        <v>2284.88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4472.44+25733.88</f>
        <v>30206.32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992.49+1894.14+21964.94</f>
        <v>24851.57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29209.93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12.56+81686.37+4211.22</f>
        <v>85910.15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53093.22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12679.63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53093.22</v>
      </c>
      <c r="G162" s="41">
        <f>SUM(G150:G161)</f>
        <v>41889.56</v>
      </c>
      <c r="H162" s="41">
        <f>SUM(H150:H161)</f>
        <v>140968.03999999998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53093.22</v>
      </c>
      <c r="G169" s="41">
        <f>G147+G162+SUM(G163:G168)</f>
        <v>41889.56</v>
      </c>
      <c r="H169" s="41">
        <f>H147+H162+SUM(H163:H168)</f>
        <v>140968.03999999998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15400</v>
      </c>
      <c r="H179" s="18"/>
      <c r="I179" s="18">
        <v>48337</v>
      </c>
      <c r="J179" s="18">
        <v>135000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15400</v>
      </c>
      <c r="H183" s="41">
        <f>SUM(H179:H182)</f>
        <v>0</v>
      </c>
      <c r="I183" s="41">
        <f>SUM(I179:I182)</f>
        <v>48337</v>
      </c>
      <c r="J183" s="41">
        <f>SUM(J179:J182)</f>
        <v>135000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f>152000+30000+22000</f>
        <v>204000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204000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204000</v>
      </c>
      <c r="G192" s="41">
        <f>G183+SUM(G188:G191)</f>
        <v>15400</v>
      </c>
      <c r="H192" s="41">
        <f>+H183+SUM(H188:H191)</f>
        <v>0</v>
      </c>
      <c r="I192" s="41">
        <f>I177+I183+SUM(I188:I191)</f>
        <v>48337</v>
      </c>
      <c r="J192" s="41">
        <f>J183</f>
        <v>135000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8552037.3900000006</v>
      </c>
      <c r="G193" s="47">
        <f>G112+G140+G169+G192</f>
        <v>176523.72999999998</v>
      </c>
      <c r="H193" s="47">
        <f>H112+H140+H169+H192</f>
        <v>140968.03999999998</v>
      </c>
      <c r="I193" s="47">
        <f>I112+I140+I169+I192</f>
        <v>48337</v>
      </c>
      <c r="J193" s="47">
        <f>J112+J140+J192</f>
        <v>135544.60999999999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2347699.02</v>
      </c>
      <c r="G197" s="18">
        <v>1040763.71</v>
      </c>
      <c r="H197" s="18">
        <v>15759.75</v>
      </c>
      <c r="I197" s="18">
        <f>62565.83+91</f>
        <v>62656.83</v>
      </c>
      <c r="J197" s="18">
        <f>2617.08+2863.47</f>
        <v>5480.5499999999993</v>
      </c>
      <c r="K197" s="18"/>
      <c r="L197" s="19">
        <f>SUM(F197:K197)</f>
        <v>3472359.86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1114940.22</v>
      </c>
      <c r="G198" s="18">
        <v>416621.53</v>
      </c>
      <c r="H198" s="18">
        <v>324895.95</v>
      </c>
      <c r="I198" s="18">
        <f>3628.56+5000</f>
        <v>8628.56</v>
      </c>
      <c r="J198" s="18">
        <v>1951.57</v>
      </c>
      <c r="K198" s="18">
        <v>480</v>
      </c>
      <c r="L198" s="19">
        <f>SUM(F198:K198)</f>
        <v>1867517.83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35429</v>
      </c>
      <c r="G200" s="18">
        <v>2710.32</v>
      </c>
      <c r="H200" s="18">
        <f>41883.07+3400+9088.39</f>
        <v>54371.46</v>
      </c>
      <c r="I200" s="18">
        <f>3573.3+5262.52+2449</f>
        <v>11284.82</v>
      </c>
      <c r="J200" s="18">
        <f>185.93+6283.65</f>
        <v>6469.58</v>
      </c>
      <c r="K200" s="18">
        <f>5612+1472.09+1743</f>
        <v>8827.09</v>
      </c>
      <c r="L200" s="19">
        <f>SUM(F200:K200)</f>
        <v>119092.27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127126.96+50836+109196</f>
        <v>287158.96000000002</v>
      </c>
      <c r="G202" s="18">
        <f>1910+145380.68</f>
        <v>147290.68</v>
      </c>
      <c r="H202" s="18">
        <v>690</v>
      </c>
      <c r="I202" s="18">
        <f>247.31+3565.41+1444.94</f>
        <v>5257.66</v>
      </c>
      <c r="J202" s="18">
        <v>831.19</v>
      </c>
      <c r="K202" s="18"/>
      <c r="L202" s="19">
        <f t="shared" ref="L202:L208" si="0">SUM(F202:K202)</f>
        <v>441228.49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3570+101822.18+197128.31</f>
        <v>302520.49</v>
      </c>
      <c r="G203" s="18">
        <v>116642.07</v>
      </c>
      <c r="H203" s="18">
        <f>19102.88+27029.89</f>
        <v>46132.770000000004</v>
      </c>
      <c r="I203" s="18">
        <f>112.89+27539.47+33090.19</f>
        <v>60742.55</v>
      </c>
      <c r="J203" s="18">
        <f>53873.93+99.02</f>
        <v>53972.95</v>
      </c>
      <c r="K203" s="18"/>
      <c r="L203" s="19">
        <f t="shared" si="0"/>
        <v>580010.82999999996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12770</v>
      </c>
      <c r="G204" s="18">
        <v>976.91</v>
      </c>
      <c r="H204" s="18">
        <f>18062+211927</f>
        <v>229989</v>
      </c>
      <c r="I204" s="18"/>
      <c r="J204" s="18"/>
      <c r="K204" s="18">
        <v>4529.16</v>
      </c>
      <c r="L204" s="19">
        <f t="shared" si="0"/>
        <v>248265.07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276573.03000000003</v>
      </c>
      <c r="G205" s="18">
        <v>115076.17</v>
      </c>
      <c r="H205" s="18">
        <v>12320.42</v>
      </c>
      <c r="I205" s="18">
        <v>3044.79</v>
      </c>
      <c r="J205" s="18"/>
      <c r="K205" s="18">
        <v>1470</v>
      </c>
      <c r="L205" s="19">
        <f t="shared" si="0"/>
        <v>408484.41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183991.85</v>
      </c>
      <c r="G207" s="18">
        <v>112719.83</v>
      </c>
      <c r="H207" s="18">
        <f>192739.19+20199.57+1302.76-48337</f>
        <v>165904.52000000002</v>
      </c>
      <c r="I207" s="18">
        <v>146489.17000000001</v>
      </c>
      <c r="J207" s="18">
        <v>11640.56</v>
      </c>
      <c r="K207" s="18"/>
      <c r="L207" s="19">
        <f t="shared" si="0"/>
        <v>620745.93000000005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347126.5+3412.7+5541.07+6151.54</f>
        <v>362231.81</v>
      </c>
      <c r="I208" s="18"/>
      <c r="J208" s="18"/>
      <c r="K208" s="18"/>
      <c r="L208" s="19">
        <f t="shared" si="0"/>
        <v>362231.81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>
        <v>299.25</v>
      </c>
      <c r="L209" s="19">
        <f>SUM(F209:K209)</f>
        <v>299.25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4561082.57</v>
      </c>
      <c r="G211" s="41">
        <f t="shared" si="1"/>
        <v>1952801.22</v>
      </c>
      <c r="H211" s="41">
        <f t="shared" si="1"/>
        <v>1212295.6800000002</v>
      </c>
      <c r="I211" s="41">
        <f t="shared" si="1"/>
        <v>298104.38</v>
      </c>
      <c r="J211" s="41">
        <f t="shared" si="1"/>
        <v>80346.399999999994</v>
      </c>
      <c r="K211" s="41">
        <f t="shared" si="1"/>
        <v>15605.5</v>
      </c>
      <c r="L211" s="41">
        <f t="shared" si="1"/>
        <v>8120235.7499999991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42813.4</v>
      </c>
      <c r="I255" s="18"/>
      <c r="J255" s="18"/>
      <c r="K255" s="18"/>
      <c r="L255" s="19">
        <f t="shared" si="6"/>
        <v>42813.4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42813.4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42813.4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4561082.57</v>
      </c>
      <c r="G257" s="41">
        <f t="shared" si="8"/>
        <v>1952801.22</v>
      </c>
      <c r="H257" s="41">
        <f t="shared" si="8"/>
        <v>1255109.08</v>
      </c>
      <c r="I257" s="41">
        <f t="shared" si="8"/>
        <v>298104.38</v>
      </c>
      <c r="J257" s="41">
        <f t="shared" si="8"/>
        <v>80346.399999999994</v>
      </c>
      <c r="K257" s="41">
        <f t="shared" si="8"/>
        <v>15605.5</v>
      </c>
      <c r="L257" s="41">
        <f t="shared" si="8"/>
        <v>8163049.1499999994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85000</v>
      </c>
      <c r="L260" s="19">
        <f>SUM(F260:K260)</f>
        <v>85000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49430</v>
      </c>
      <c r="L261" s="19">
        <f>SUM(F261:K261)</f>
        <v>49430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15400</v>
      </c>
      <c r="L263" s="19">
        <f>SUM(F263:K263)</f>
        <v>15400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48337</v>
      </c>
      <c r="L265" s="19">
        <f t="shared" si="9"/>
        <v>48337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135000</v>
      </c>
      <c r="L266" s="19">
        <f t="shared" si="9"/>
        <v>135000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333167</v>
      </c>
      <c r="L270" s="41">
        <f t="shared" si="9"/>
        <v>333167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4561082.57</v>
      </c>
      <c r="G271" s="42">
        <f t="shared" si="11"/>
        <v>1952801.22</v>
      </c>
      <c r="H271" s="42">
        <f t="shared" si="11"/>
        <v>1255109.08</v>
      </c>
      <c r="I271" s="42">
        <f t="shared" si="11"/>
        <v>298104.38</v>
      </c>
      <c r="J271" s="42">
        <f t="shared" si="11"/>
        <v>80346.399999999994</v>
      </c>
      <c r="K271" s="42">
        <f t="shared" si="11"/>
        <v>348772.5</v>
      </c>
      <c r="L271" s="42">
        <f t="shared" si="11"/>
        <v>8496216.1499999985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19435+17401</f>
        <v>36836</v>
      </c>
      <c r="G276" s="18">
        <f>2818.96+1025.65+128.92+162.07</f>
        <v>4135.6000000000004</v>
      </c>
      <c r="H276" s="18">
        <f>894.5+800+941.23</f>
        <v>2635.73</v>
      </c>
      <c r="I276" s="18">
        <f>509.99</f>
        <v>509.99</v>
      </c>
      <c r="J276" s="18"/>
      <c r="K276" s="18"/>
      <c r="L276" s="19">
        <f>SUM(F276:K276)</f>
        <v>44117.32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69708.5</v>
      </c>
      <c r="G277" s="18">
        <f>5332.76+243.97+306.71</f>
        <v>5883.4400000000005</v>
      </c>
      <c r="H277" s="18">
        <v>2625</v>
      </c>
      <c r="I277" s="18">
        <f>1523.9+938.45+168</f>
        <v>2630.3500000000004</v>
      </c>
      <c r="J277" s="18">
        <v>4202</v>
      </c>
      <c r="K277" s="18"/>
      <c r="L277" s="19">
        <f>SUM(F277:K277)</f>
        <v>85049.290000000008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2292</v>
      </c>
      <c r="G279" s="18">
        <f>156.98+136.34+8.02+9.16</f>
        <v>310.5</v>
      </c>
      <c r="H279" s="18"/>
      <c r="I279" s="18"/>
      <c r="J279" s="18"/>
      <c r="K279" s="18"/>
      <c r="L279" s="19">
        <f>SUM(F279:K279)</f>
        <v>2602.5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700+900</f>
        <v>1600</v>
      </c>
      <c r="G282" s="18">
        <f>122.43+129.25+5.6+7.04</f>
        <v>264.32000000000005</v>
      </c>
      <c r="H282" s="18"/>
      <c r="I282" s="18"/>
      <c r="J282" s="18"/>
      <c r="K282" s="18"/>
      <c r="L282" s="19">
        <f t="shared" si="12"/>
        <v>1864.3200000000002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5420</v>
      </c>
      <c r="G283" s="18">
        <f>413.75+20.67+25.99</f>
        <v>460.41</v>
      </c>
      <c r="H283" s="18"/>
      <c r="I283" s="18"/>
      <c r="J283" s="18"/>
      <c r="K283" s="18">
        <f>805.86+648.34</f>
        <v>1454.2</v>
      </c>
      <c r="L283" s="19">
        <f t="shared" si="12"/>
        <v>7334.61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115856.5</v>
      </c>
      <c r="G290" s="42">
        <f t="shared" si="13"/>
        <v>11054.27</v>
      </c>
      <c r="H290" s="42">
        <f t="shared" si="13"/>
        <v>5260.73</v>
      </c>
      <c r="I290" s="42">
        <f t="shared" si="13"/>
        <v>3140.34</v>
      </c>
      <c r="J290" s="42">
        <f t="shared" si="13"/>
        <v>4202</v>
      </c>
      <c r="K290" s="42">
        <f t="shared" si="13"/>
        <v>1454.2</v>
      </c>
      <c r="L290" s="41">
        <f t="shared" si="13"/>
        <v>140968.04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115856.5</v>
      </c>
      <c r="G338" s="41">
        <f t="shared" si="20"/>
        <v>11054.27</v>
      </c>
      <c r="H338" s="41">
        <f t="shared" si="20"/>
        <v>5260.73</v>
      </c>
      <c r="I338" s="41">
        <f t="shared" si="20"/>
        <v>3140.34</v>
      </c>
      <c r="J338" s="41">
        <f t="shared" si="20"/>
        <v>4202</v>
      </c>
      <c r="K338" s="41">
        <f t="shared" si="20"/>
        <v>1454.2</v>
      </c>
      <c r="L338" s="41">
        <f t="shared" si="20"/>
        <v>140968.04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115856.5</v>
      </c>
      <c r="G352" s="41">
        <f>G338</f>
        <v>11054.27</v>
      </c>
      <c r="H352" s="41">
        <f>H338</f>
        <v>5260.73</v>
      </c>
      <c r="I352" s="41">
        <f>I338</f>
        <v>3140.34</v>
      </c>
      <c r="J352" s="41">
        <f>J338</f>
        <v>4202</v>
      </c>
      <c r="K352" s="47">
        <f>K338+K351</f>
        <v>1454.2</v>
      </c>
      <c r="L352" s="41">
        <f>L338+L351</f>
        <v>140968.04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40800+50691.13+102.13</f>
        <v>91593.260000000009</v>
      </c>
      <c r="G358" s="18"/>
      <c r="H358" s="18">
        <f>1195</f>
        <v>1195</v>
      </c>
      <c r="I358" s="18">
        <f>3937.69+54200.7+12679.63+1305.31</f>
        <v>72123.33</v>
      </c>
      <c r="J358" s="18">
        <v>8431.23</v>
      </c>
      <c r="K358" s="18">
        <v>1142.76</v>
      </c>
      <c r="L358" s="13">
        <f>SUM(F358:K358)</f>
        <v>174485.58000000005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91593.260000000009</v>
      </c>
      <c r="G362" s="47">
        <f t="shared" si="22"/>
        <v>0</v>
      </c>
      <c r="H362" s="47">
        <f t="shared" si="22"/>
        <v>1195</v>
      </c>
      <c r="I362" s="47">
        <f t="shared" si="22"/>
        <v>72123.33</v>
      </c>
      <c r="J362" s="47">
        <f t="shared" si="22"/>
        <v>8431.23</v>
      </c>
      <c r="K362" s="47">
        <f t="shared" si="22"/>
        <v>1142.76</v>
      </c>
      <c r="L362" s="47">
        <f t="shared" si="22"/>
        <v>174485.58000000005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54200.7+12679.63</f>
        <v>66880.33</v>
      </c>
      <c r="G367" s="18"/>
      <c r="H367" s="18"/>
      <c r="I367" s="56">
        <f>SUM(F367:H367)</f>
        <v>66880.33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3937.69+1305.31</f>
        <v>5243</v>
      </c>
      <c r="G368" s="63"/>
      <c r="H368" s="63"/>
      <c r="I368" s="56">
        <f>SUM(F368:H368)</f>
        <v>5243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72123.33</v>
      </c>
      <c r="G369" s="47">
        <f>SUM(G367:G368)</f>
        <v>0</v>
      </c>
      <c r="H369" s="47">
        <f>SUM(H367:H368)</f>
        <v>0</v>
      </c>
      <c r="I369" s="47">
        <f>SUM(I367:I368)</f>
        <v>72123.33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0.43</v>
      </c>
      <c r="I389" s="18"/>
      <c r="J389" s="24" t="s">
        <v>289</v>
      </c>
      <c r="K389" s="24" t="s">
        <v>289</v>
      </c>
      <c r="L389" s="56">
        <f t="shared" si="25"/>
        <v>0.43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0.43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0.43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110.4</v>
      </c>
      <c r="I395" s="18"/>
      <c r="J395" s="24" t="s">
        <v>289</v>
      </c>
      <c r="K395" s="24" t="s">
        <v>289</v>
      </c>
      <c r="L395" s="56">
        <f t="shared" ref="L395:L400" si="26">SUM(F395:K395)</f>
        <v>110.4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50000</v>
      </c>
      <c r="H396" s="18">
        <f>137.56</f>
        <v>137.56</v>
      </c>
      <c r="I396" s="18"/>
      <c r="J396" s="24" t="s">
        <v>289</v>
      </c>
      <c r="K396" s="24" t="s">
        <v>289</v>
      </c>
      <c r="L396" s="56">
        <f t="shared" si="26"/>
        <v>50137.56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>
        <v>193.71</v>
      </c>
      <c r="I397" s="18"/>
      <c r="J397" s="24" t="s">
        <v>289</v>
      </c>
      <c r="K397" s="24" t="s">
        <v>289</v>
      </c>
      <c r="L397" s="56">
        <f t="shared" si="26"/>
        <v>50193.71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23.11</v>
      </c>
      <c r="I399" s="18"/>
      <c r="J399" s="24" t="s">
        <v>289</v>
      </c>
      <c r="K399" s="24" t="s">
        <v>289</v>
      </c>
      <c r="L399" s="56">
        <f t="shared" si="26"/>
        <v>23.11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35000</v>
      </c>
      <c r="H400" s="18">
        <v>79.400000000000006</v>
      </c>
      <c r="I400" s="18"/>
      <c r="J400" s="24" t="s">
        <v>289</v>
      </c>
      <c r="K400" s="24" t="s">
        <v>289</v>
      </c>
      <c r="L400" s="56">
        <f t="shared" si="26"/>
        <v>35079.4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135000</v>
      </c>
      <c r="H401" s="47">
        <f>SUM(H395:H400)</f>
        <v>544.18000000000006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135544.18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135000</v>
      </c>
      <c r="H408" s="47">
        <f>H393+H401+H407</f>
        <v>544.61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135544.60999999999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>
        <v>22000</v>
      </c>
      <c r="L421" s="56">
        <f t="shared" ref="L421:L426" si="29">SUM(F421:K421)</f>
        <v>22000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30000</v>
      </c>
      <c r="L422" s="56">
        <f t="shared" si="29"/>
        <v>30000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>
        <v>152000</v>
      </c>
      <c r="L423" s="56">
        <f t="shared" si="29"/>
        <v>152000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204000</v>
      </c>
      <c r="L427" s="47">
        <f t="shared" si="30"/>
        <v>204000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204000</v>
      </c>
      <c r="L434" s="47">
        <f t="shared" si="32"/>
        <v>204000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234007.29</v>
      </c>
      <c r="H440" s="18"/>
      <c r="I440" s="56">
        <f t="shared" si="33"/>
        <v>234007.29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234007.29</v>
      </c>
      <c r="H446" s="13">
        <f>SUM(H439:H445)</f>
        <v>0</v>
      </c>
      <c r="I446" s="13">
        <f>SUM(I439:I445)</f>
        <v>234007.29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234007.29</v>
      </c>
      <c r="H459" s="18"/>
      <c r="I459" s="56">
        <f t="shared" si="34"/>
        <v>234007.29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234007.29</v>
      </c>
      <c r="H460" s="83">
        <f>SUM(H454:H459)</f>
        <v>0</v>
      </c>
      <c r="I460" s="83">
        <f>SUM(I454:I459)</f>
        <v>234007.29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234007.29</v>
      </c>
      <c r="H461" s="42">
        <f>H452+H460</f>
        <v>0</v>
      </c>
      <c r="I461" s="42">
        <f>I452+I460</f>
        <v>234007.29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215851.96</v>
      </c>
      <c r="G465" s="18">
        <v>5283.38</v>
      </c>
      <c r="H465" s="18">
        <v>0</v>
      </c>
      <c r="I465" s="18">
        <v>-48337</v>
      </c>
      <c r="J465" s="18">
        <v>302462.68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8552037.3900000006</v>
      </c>
      <c r="G468" s="18">
        <v>176523.73</v>
      </c>
      <c r="H468" s="18">
        <v>140968.04</v>
      </c>
      <c r="I468" s="18">
        <v>48337</v>
      </c>
      <c r="J468" s="18">
        <f>135000+544.61</f>
        <v>135544.60999999999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8552037.3900000006</v>
      </c>
      <c r="G470" s="53">
        <f>SUM(G468:G469)</f>
        <v>176523.73</v>
      </c>
      <c r="H470" s="53">
        <f>SUM(H468:H469)</f>
        <v>140968.04</v>
      </c>
      <c r="I470" s="53">
        <f>SUM(I468:I469)</f>
        <v>48337</v>
      </c>
      <c r="J470" s="53">
        <f>SUM(J468:J469)</f>
        <v>135544.60999999999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8496216.1500000004</v>
      </c>
      <c r="G472" s="18">
        <v>174485.58</v>
      </c>
      <c r="H472" s="18">
        <f>140319.7+648.34</f>
        <v>140968.04</v>
      </c>
      <c r="I472" s="18"/>
      <c r="J472" s="18">
        <v>204000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8496216.1500000004</v>
      </c>
      <c r="G474" s="53">
        <f>SUM(G472:G473)</f>
        <v>174485.58</v>
      </c>
      <c r="H474" s="53">
        <f>SUM(H472:H473)</f>
        <v>140968.04</v>
      </c>
      <c r="I474" s="53">
        <f>SUM(I472:I473)</f>
        <v>0</v>
      </c>
      <c r="J474" s="53">
        <f>SUM(J472:J473)</f>
        <v>204000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271673.20000000112</v>
      </c>
      <c r="G476" s="53">
        <f>(G465+G470)- G474</f>
        <v>7321.5300000000279</v>
      </c>
      <c r="H476" s="53">
        <f>(H465+H470)- H474</f>
        <v>0</v>
      </c>
      <c r="I476" s="53">
        <f>(I465+I470)- I474</f>
        <v>0</v>
      </c>
      <c r="J476" s="53">
        <f>(J465+J470)- J474</f>
        <v>234007.28999999998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916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914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1200000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2.61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960000</v>
      </c>
      <c r="G495" s="18"/>
      <c r="H495" s="18"/>
      <c r="I495" s="18"/>
      <c r="J495" s="18"/>
      <c r="K495" s="53">
        <f>SUM(F495:J495)</f>
        <v>960000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f>F495-F498</f>
        <v>85000</v>
      </c>
      <c r="G497" s="18"/>
      <c r="H497" s="18"/>
      <c r="I497" s="18"/>
      <c r="J497" s="18"/>
      <c r="K497" s="53">
        <f t="shared" si="35"/>
        <v>85000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875000</v>
      </c>
      <c r="G498" s="204"/>
      <c r="H498" s="204"/>
      <c r="I498" s="204"/>
      <c r="J498" s="204"/>
      <c r="K498" s="205">
        <f t="shared" si="35"/>
        <v>875000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200666.25</v>
      </c>
      <c r="G499" s="18"/>
      <c r="H499" s="18"/>
      <c r="I499" s="18"/>
      <c r="J499" s="18"/>
      <c r="K499" s="53">
        <f t="shared" si="35"/>
        <v>200666.25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1075666.25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1075666.25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90000</v>
      </c>
      <c r="G501" s="204"/>
      <c r="H501" s="204"/>
      <c r="I501" s="204"/>
      <c r="J501" s="204"/>
      <c r="K501" s="205">
        <f t="shared" si="35"/>
        <v>90000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44742.5</v>
      </c>
      <c r="G502" s="18"/>
      <c r="H502" s="18"/>
      <c r="I502" s="18"/>
      <c r="J502" s="18"/>
      <c r="K502" s="53">
        <f t="shared" si="35"/>
        <v>44742.5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134742.5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134742.5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593608.87+410806.66+1091.8+69708.5</f>
        <v>1075215.83</v>
      </c>
      <c r="G521" s="18">
        <f>230591.15+45071.43+132970.93-45097.39+5332.76+243.97+306.71</f>
        <v>369419.56</v>
      </c>
      <c r="H521" s="18">
        <f>324895.95-8704.55+2625</f>
        <v>318816.40000000002</v>
      </c>
      <c r="I521" s="18">
        <f>3628.56+970+938.45</f>
        <v>5537.0099999999993</v>
      </c>
      <c r="J521" s="18">
        <f>1951.57+752.21</f>
        <v>2703.7799999999997</v>
      </c>
      <c r="K521" s="18"/>
      <c r="L521" s="88">
        <f>SUM(F521:K521)</f>
        <v>1771692.58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1075215.83</v>
      </c>
      <c r="G524" s="108">
        <f t="shared" ref="G524:L524" si="36">SUM(G521:G523)</f>
        <v>369419.56</v>
      </c>
      <c r="H524" s="108">
        <f t="shared" si="36"/>
        <v>318816.40000000002</v>
      </c>
      <c r="I524" s="108">
        <f t="shared" si="36"/>
        <v>5537.0099999999993</v>
      </c>
      <c r="J524" s="108">
        <f t="shared" si="36"/>
        <v>2703.7799999999997</v>
      </c>
      <c r="K524" s="108">
        <f t="shared" si="36"/>
        <v>0</v>
      </c>
      <c r="L524" s="89">
        <f t="shared" si="36"/>
        <v>1771692.58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78010+78010+31196</f>
        <v>187216</v>
      </c>
      <c r="G526" s="18">
        <f>45097.39+26606.45+29278.47</f>
        <v>100982.31</v>
      </c>
      <c r="H526" s="18"/>
      <c r="I526" s="18">
        <v>1444.94</v>
      </c>
      <c r="J526" s="18"/>
      <c r="K526" s="18"/>
      <c r="L526" s="88">
        <f>SUM(F526:K526)</f>
        <v>289643.25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187216</v>
      </c>
      <c r="G529" s="89">
        <f t="shared" ref="G529:L529" si="37">SUM(G526:G528)</f>
        <v>100982.31</v>
      </c>
      <c r="H529" s="89">
        <f t="shared" si="37"/>
        <v>0</v>
      </c>
      <c r="I529" s="89">
        <f t="shared" si="37"/>
        <v>1444.94</v>
      </c>
      <c r="J529" s="89">
        <f t="shared" si="37"/>
        <v>0</v>
      </c>
      <c r="K529" s="89">
        <f t="shared" si="37"/>
        <v>0</v>
      </c>
      <c r="L529" s="89">
        <f t="shared" si="37"/>
        <v>289643.25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31422.89</v>
      </c>
      <c r="G531" s="18">
        <v>7988.02</v>
      </c>
      <c r="H531" s="18"/>
      <c r="I531" s="18"/>
      <c r="J531" s="18"/>
      <c r="K531" s="18">
        <f>480+469.29</f>
        <v>949.29</v>
      </c>
      <c r="L531" s="88">
        <f>SUM(F531:K531)</f>
        <v>40360.200000000004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31422.89</v>
      </c>
      <c r="G534" s="89">
        <f t="shared" ref="G534:L534" si="38">SUM(G531:G533)</f>
        <v>7988.02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949.29</v>
      </c>
      <c r="L534" s="89">
        <f t="shared" si="38"/>
        <v>40360.200000000004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8704.5499999999993</v>
      </c>
      <c r="I536" s="18"/>
      <c r="J536" s="18"/>
      <c r="K536" s="18"/>
      <c r="L536" s="88">
        <f>SUM(F536:K536)</f>
        <v>8704.5499999999993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8704.5499999999993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8704.5499999999993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3412.7</v>
      </c>
      <c r="I541" s="18"/>
      <c r="J541" s="18"/>
      <c r="K541" s="18"/>
      <c r="L541" s="88">
        <f>SUM(F541:K541)</f>
        <v>3412.7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3412.7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3412.7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1293854.72</v>
      </c>
      <c r="G545" s="89">
        <f t="shared" ref="G545:L545" si="41">G524+G529+G534+G539+G544</f>
        <v>478389.89</v>
      </c>
      <c r="H545" s="89">
        <f t="shared" si="41"/>
        <v>330933.65000000002</v>
      </c>
      <c r="I545" s="89">
        <f t="shared" si="41"/>
        <v>6981.9499999999989</v>
      </c>
      <c r="J545" s="89">
        <f t="shared" si="41"/>
        <v>2703.7799999999997</v>
      </c>
      <c r="K545" s="89">
        <f t="shared" si="41"/>
        <v>949.29</v>
      </c>
      <c r="L545" s="89">
        <f t="shared" si="41"/>
        <v>2113813.2800000003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1771692.58</v>
      </c>
      <c r="G549" s="87">
        <f>L526</f>
        <v>289643.25</v>
      </c>
      <c r="H549" s="87">
        <f>L531</f>
        <v>40360.200000000004</v>
      </c>
      <c r="I549" s="87">
        <f>L536</f>
        <v>8704.5499999999993</v>
      </c>
      <c r="J549" s="87">
        <f>L541</f>
        <v>3412.7</v>
      </c>
      <c r="K549" s="87">
        <f>SUM(F549:J549)</f>
        <v>2113813.2800000003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1771692.58</v>
      </c>
      <c r="G552" s="89">
        <f t="shared" si="42"/>
        <v>289643.25</v>
      </c>
      <c r="H552" s="89">
        <f t="shared" si="42"/>
        <v>40360.200000000004</v>
      </c>
      <c r="I552" s="89">
        <f t="shared" si="42"/>
        <v>8704.5499999999993</v>
      </c>
      <c r="J552" s="89">
        <f t="shared" si="42"/>
        <v>3412.7</v>
      </c>
      <c r="K552" s="89">
        <f t="shared" si="42"/>
        <v>2113813.2800000003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211944.17</v>
      </c>
      <c r="G582" s="18"/>
      <c r="H582" s="18"/>
      <c r="I582" s="87">
        <f t="shared" si="47"/>
        <v>211944.17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347126.5</v>
      </c>
      <c r="I591" s="18"/>
      <c r="J591" s="18"/>
      <c r="K591" s="104">
        <f t="shared" ref="K591:K597" si="48">SUM(H591:J591)</f>
        <v>347126.5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3412.7</v>
      </c>
      <c r="I592" s="18"/>
      <c r="J592" s="18"/>
      <c r="K592" s="104">
        <f t="shared" si="48"/>
        <v>3412.7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5541.07</v>
      </c>
      <c r="I594" s="18"/>
      <c r="J594" s="18"/>
      <c r="K594" s="104">
        <f t="shared" si="48"/>
        <v>5541.07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6151.54</v>
      </c>
      <c r="I595" s="18"/>
      <c r="J595" s="18"/>
      <c r="K595" s="104">
        <f t="shared" si="48"/>
        <v>6151.54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362231.81</v>
      </c>
      <c r="I598" s="108">
        <f>SUM(I591:I597)</f>
        <v>0</v>
      </c>
      <c r="J598" s="108">
        <f>SUM(J591:J597)</f>
        <v>0</v>
      </c>
      <c r="K598" s="108">
        <f>SUM(K591:K597)</f>
        <v>362231.81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71100.26+99.02+2863.47+6283.65+4202</f>
        <v>84548.4</v>
      </c>
      <c r="I604" s="18"/>
      <c r="J604" s="18"/>
      <c r="K604" s="104">
        <f>SUM(H604:J604)</f>
        <v>84548.4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84548.4</v>
      </c>
      <c r="I605" s="108">
        <f>SUM(I602:I604)</f>
        <v>0</v>
      </c>
      <c r="J605" s="108">
        <f>SUM(J602:J604)</f>
        <v>0</v>
      </c>
      <c r="K605" s="108">
        <f>SUM(K602:K604)</f>
        <v>84548.4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331605.95000000013</v>
      </c>
      <c r="H617" s="109">
        <f>SUM(F52)</f>
        <v>331605.95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12055.36</v>
      </c>
      <c r="H618" s="109">
        <f>SUM(G52)</f>
        <v>12055.36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20849.57</v>
      </c>
      <c r="H619" s="109">
        <f>SUM(H52)</f>
        <v>20849.57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234007.29</v>
      </c>
      <c r="H621" s="109">
        <f>SUM(J52)</f>
        <v>234007.29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271673.2</v>
      </c>
      <c r="H622" s="109">
        <f>F476</f>
        <v>271673.20000000112</v>
      </c>
      <c r="I622" s="121" t="s">
        <v>101</v>
      </c>
      <c r="J622" s="109">
        <f t="shared" ref="J622:J655" si="50">G622-H622</f>
        <v>-1.1059455573558807E-9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7321.53</v>
      </c>
      <c r="H623" s="109">
        <f>G476</f>
        <v>7321.5300000000279</v>
      </c>
      <c r="I623" s="121" t="s">
        <v>102</v>
      </c>
      <c r="J623" s="109">
        <f t="shared" si="50"/>
        <v>-2.8194335754960775E-11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234007.29</v>
      </c>
      <c r="H626" s="109">
        <f>J476</f>
        <v>234007.28999999998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8552037.3900000006</v>
      </c>
      <c r="H627" s="104">
        <f>SUM(F468)</f>
        <v>8552037.3900000006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176523.72999999998</v>
      </c>
      <c r="H628" s="104">
        <f>SUM(G468)</f>
        <v>176523.73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140968.03999999998</v>
      </c>
      <c r="H629" s="104">
        <f>SUM(H468)</f>
        <v>140968.04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48337</v>
      </c>
      <c r="H630" s="104">
        <f>SUM(I468)</f>
        <v>48337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135544.60999999999</v>
      </c>
      <c r="H631" s="104">
        <f>SUM(J468)</f>
        <v>135544.60999999999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8496216.1499999985</v>
      </c>
      <c r="H632" s="104">
        <f>SUM(F472)</f>
        <v>8496216.1500000004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140968.04</v>
      </c>
      <c r="H633" s="104">
        <f>SUM(H472)</f>
        <v>140968.04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72123.33</v>
      </c>
      <c r="H634" s="104">
        <f>I369</f>
        <v>72123.33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174485.58000000005</v>
      </c>
      <c r="H635" s="104">
        <f>SUM(G472)</f>
        <v>174485.58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135544.60999999999</v>
      </c>
      <c r="H637" s="164">
        <f>SUM(J468)</f>
        <v>135544.60999999999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204000</v>
      </c>
      <c r="H638" s="164">
        <f>SUM(J472)</f>
        <v>204000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234007.29</v>
      </c>
      <c r="H640" s="104">
        <f>SUM(G461)</f>
        <v>234007.29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234007.29</v>
      </c>
      <c r="H642" s="104">
        <f>SUM(I461)</f>
        <v>234007.29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544.61</v>
      </c>
      <c r="H644" s="104">
        <f>H408</f>
        <v>544.61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135000</v>
      </c>
      <c r="H645" s="104">
        <f>G408</f>
        <v>135000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135544.60999999999</v>
      </c>
      <c r="H646" s="104">
        <f>L408</f>
        <v>135544.60999999999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362231.81</v>
      </c>
      <c r="H647" s="104">
        <f>L208+L226+L244</f>
        <v>362231.81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84548.4</v>
      </c>
      <c r="H648" s="104">
        <f>(J257+J338)-(J255+J336)</f>
        <v>84548.4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362231.81</v>
      </c>
      <c r="H649" s="104">
        <f>H598</f>
        <v>362231.81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15400</v>
      </c>
      <c r="H652" s="104">
        <f>K263+K345</f>
        <v>15400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48337</v>
      </c>
      <c r="H654" s="104">
        <f>K265+K346</f>
        <v>48337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135000</v>
      </c>
      <c r="H655" s="104">
        <f>K266+K347</f>
        <v>135000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8435689.3699999992</v>
      </c>
      <c r="G660" s="19">
        <f>(L229+L309+L359)</f>
        <v>0</v>
      </c>
      <c r="H660" s="19">
        <f>(L247+L328+L360)</f>
        <v>0</v>
      </c>
      <c r="I660" s="19">
        <f>SUM(F660:H660)</f>
        <v>8435689.3699999992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116949.29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116949.29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362231.81</v>
      </c>
      <c r="G662" s="19">
        <f>(L226+L306)-(J226+J306)</f>
        <v>0</v>
      </c>
      <c r="H662" s="19">
        <f>(L244+L325)-(J244+J325)</f>
        <v>0</v>
      </c>
      <c r="I662" s="19">
        <f>SUM(F662:H662)</f>
        <v>362231.81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296492.57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296492.57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7660015.6999999993</v>
      </c>
      <c r="G664" s="19">
        <f>G660-SUM(G661:G663)</f>
        <v>0</v>
      </c>
      <c r="H664" s="19">
        <f>H660-SUM(H661:H663)</f>
        <v>0</v>
      </c>
      <c r="I664" s="19">
        <f>I660-SUM(I661:I663)</f>
        <v>7660015.6999999993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402.2</v>
      </c>
      <c r="G665" s="248"/>
      <c r="H665" s="248"/>
      <c r="I665" s="19">
        <f>SUM(F665:H665)</f>
        <v>402.2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19045.29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19045.29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19045.29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19045.29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view="pageLayout" zoomScaleNormal="100" workbookViewId="0">
      <selection activeCell="C4" sqref="C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NORTH HAMPTON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2384535.02</v>
      </c>
      <c r="C9" s="229">
        <f>'DOE25'!G197+'DOE25'!G215+'DOE25'!G233+'DOE25'!G276+'DOE25'!G295+'DOE25'!G314</f>
        <v>1044899.3099999999</v>
      </c>
    </row>
    <row r="10" spans="1:3" x14ac:dyDescent="0.2">
      <c r="A10" t="s">
        <v>779</v>
      </c>
      <c r="B10" s="240">
        <f>2315545.42+19435</f>
        <v>2334980.42</v>
      </c>
      <c r="C10" s="240">
        <f>1038303.96+69.75+3.15+3.96+1417.97+64.87+81.55</f>
        <v>1039945.21</v>
      </c>
    </row>
    <row r="11" spans="1:3" x14ac:dyDescent="0.2">
      <c r="A11" t="s">
        <v>780</v>
      </c>
      <c r="B11" s="240">
        <f>17401</f>
        <v>17401</v>
      </c>
      <c r="C11" s="240">
        <f>1331.24+1025.65+60.9+76.56</f>
        <v>2494.3500000000004</v>
      </c>
    </row>
    <row r="12" spans="1:3" x14ac:dyDescent="0.2">
      <c r="A12" t="s">
        <v>781</v>
      </c>
      <c r="B12" s="240">
        <v>32153.599999999999</v>
      </c>
      <c r="C12" s="240">
        <f>2459.75</f>
        <v>2459.75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2384535.02</v>
      </c>
      <c r="C13" s="231">
        <f>SUM(C10:C12)</f>
        <v>1044899.3099999999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1184648.72</v>
      </c>
      <c r="C18" s="229">
        <f>'DOE25'!G198+'DOE25'!G216+'DOE25'!G234+'DOE25'!G277+'DOE25'!G296+'DOE25'!G315</f>
        <v>422504.97000000003</v>
      </c>
    </row>
    <row r="19" spans="1:3" x14ac:dyDescent="0.2">
      <c r="A19" t="s">
        <v>779</v>
      </c>
      <c r="B19" s="240">
        <f>593608.87+78010+69708.5</f>
        <v>741327.37</v>
      </c>
      <c r="C19" s="240">
        <f>230591.15+45071.43+5332.76+243.97+306.71</f>
        <v>281546.02</v>
      </c>
    </row>
    <row r="20" spans="1:3" x14ac:dyDescent="0.2">
      <c r="A20" t="s">
        <v>780</v>
      </c>
      <c r="B20" s="240">
        <f>410806.66+1091.8</f>
        <v>411898.45999999996</v>
      </c>
      <c r="C20" s="240">
        <f>132970.93</f>
        <v>132970.93</v>
      </c>
    </row>
    <row r="21" spans="1:3" x14ac:dyDescent="0.2">
      <c r="A21" t="s">
        <v>781</v>
      </c>
      <c r="B21" s="240">
        <f>31422.89</f>
        <v>31422.89</v>
      </c>
      <c r="C21" s="240">
        <f>7988.02</f>
        <v>7988.02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1184648.72</v>
      </c>
      <c r="C22" s="231">
        <f>SUM(C19:C21)</f>
        <v>422504.97000000003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37721</v>
      </c>
      <c r="C36" s="235">
        <f>'DOE25'!G200+'DOE25'!G218+'DOE25'!G236+'DOE25'!G279+'DOE25'!G298+'DOE25'!G317</f>
        <v>3020.82</v>
      </c>
    </row>
    <row r="37" spans="1:3" x14ac:dyDescent="0.2">
      <c r="A37" t="s">
        <v>779</v>
      </c>
      <c r="B37" s="240">
        <f>2292</f>
        <v>2292</v>
      </c>
      <c r="C37" s="240">
        <f>156.98+136.34+8.02+9.16</f>
        <v>310.5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35429</f>
        <v>35429</v>
      </c>
      <c r="C39" s="240">
        <v>2710.32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37721</v>
      </c>
      <c r="C40" s="231">
        <f>SUM(C37:C39)</f>
        <v>3020.82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FY2015-2016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7" sqref="D1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NORTH HAMPTON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5458969.959999999</v>
      </c>
      <c r="D5" s="20">
        <f>SUM('DOE25'!L197:L200)+SUM('DOE25'!L215:L218)+SUM('DOE25'!L233:L236)-F5-G5</f>
        <v>5435761.169999999</v>
      </c>
      <c r="E5" s="243"/>
      <c r="F5" s="255">
        <f>SUM('DOE25'!J197:J200)+SUM('DOE25'!J215:J218)+SUM('DOE25'!J233:J236)</f>
        <v>13901.699999999999</v>
      </c>
      <c r="G5" s="53">
        <f>SUM('DOE25'!K197:K200)+SUM('DOE25'!K215:K218)+SUM('DOE25'!K233:K236)</f>
        <v>9307.09</v>
      </c>
      <c r="H5" s="259"/>
    </row>
    <row r="6" spans="1:9" x14ac:dyDescent="0.2">
      <c r="A6" s="32">
        <v>2100</v>
      </c>
      <c r="B6" t="s">
        <v>801</v>
      </c>
      <c r="C6" s="245">
        <f t="shared" si="0"/>
        <v>441228.49</v>
      </c>
      <c r="D6" s="20">
        <f>'DOE25'!L202+'DOE25'!L220+'DOE25'!L238-F6-G6</f>
        <v>440397.3</v>
      </c>
      <c r="E6" s="243"/>
      <c r="F6" s="255">
        <f>'DOE25'!J202+'DOE25'!J220+'DOE25'!J238</f>
        <v>831.19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580010.82999999996</v>
      </c>
      <c r="D7" s="20">
        <f>'DOE25'!L203+'DOE25'!L221+'DOE25'!L239-F7-G7</f>
        <v>526037.88</v>
      </c>
      <c r="E7" s="243"/>
      <c r="F7" s="255">
        <f>'DOE25'!J203+'DOE25'!J221+'DOE25'!J239</f>
        <v>53972.95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139677.05000000002</v>
      </c>
      <c r="D8" s="243"/>
      <c r="E8" s="20">
        <f>'DOE25'!L204+'DOE25'!L222+'DOE25'!L240-F8-G8-D9-D11</f>
        <v>135147.89000000001</v>
      </c>
      <c r="F8" s="255">
        <f>'DOE25'!J204+'DOE25'!J222+'DOE25'!J240</f>
        <v>0</v>
      </c>
      <c r="G8" s="53">
        <f>'DOE25'!K204+'DOE25'!K222+'DOE25'!K240</f>
        <v>4529.16</v>
      </c>
      <c r="H8" s="259"/>
    </row>
    <row r="9" spans="1:9" x14ac:dyDescent="0.2">
      <c r="A9" s="32">
        <v>2310</v>
      </c>
      <c r="B9" t="s">
        <v>818</v>
      </c>
      <c r="C9" s="245">
        <f t="shared" si="0"/>
        <v>35361.160000000003</v>
      </c>
      <c r="D9" s="244">
        <v>35361.160000000003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14400</v>
      </c>
      <c r="D10" s="243"/>
      <c r="E10" s="244">
        <v>14400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73226.86</v>
      </c>
      <c r="D11" s="244">
        <v>73226.86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408484.41</v>
      </c>
      <c r="D12" s="20">
        <f>'DOE25'!L205+'DOE25'!L223+'DOE25'!L241-F12-G12</f>
        <v>407014.41</v>
      </c>
      <c r="E12" s="243"/>
      <c r="F12" s="255">
        <f>'DOE25'!J205+'DOE25'!J223+'DOE25'!J241</f>
        <v>0</v>
      </c>
      <c r="G12" s="53">
        <f>'DOE25'!K205+'DOE25'!K223+'DOE25'!K241</f>
        <v>1470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620745.93000000005</v>
      </c>
      <c r="D14" s="20">
        <f>'DOE25'!L207+'DOE25'!L225+'DOE25'!L243-F14-G14</f>
        <v>609105.37</v>
      </c>
      <c r="E14" s="243"/>
      <c r="F14" s="255">
        <f>'DOE25'!J207+'DOE25'!J225+'DOE25'!J243</f>
        <v>11640.56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362231.81</v>
      </c>
      <c r="D15" s="20">
        <f>'DOE25'!L208+'DOE25'!L226+'DOE25'!L244-F15-G15</f>
        <v>362231.81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299.25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299.25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42813.4</v>
      </c>
      <c r="D22" s="243"/>
      <c r="E22" s="243"/>
      <c r="F22" s="255">
        <f>'DOE25'!L255+'DOE25'!L336</f>
        <v>42813.4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134430</v>
      </c>
      <c r="D25" s="243"/>
      <c r="E25" s="243"/>
      <c r="F25" s="258"/>
      <c r="G25" s="256"/>
      <c r="H25" s="257">
        <f>'DOE25'!L260+'DOE25'!L261+'DOE25'!L341+'DOE25'!L342</f>
        <v>134430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107605.25000000004</v>
      </c>
      <c r="D29" s="20">
        <f>'DOE25'!L358+'DOE25'!L359+'DOE25'!L360-'DOE25'!I367-F29-G29</f>
        <v>98031.260000000053</v>
      </c>
      <c r="E29" s="243"/>
      <c r="F29" s="255">
        <f>'DOE25'!J358+'DOE25'!J359+'DOE25'!J360</f>
        <v>8431.23</v>
      </c>
      <c r="G29" s="53">
        <f>'DOE25'!K358+'DOE25'!K359+'DOE25'!K360</f>
        <v>1142.76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140968.04</v>
      </c>
      <c r="D31" s="20">
        <f>'DOE25'!L290+'DOE25'!L309+'DOE25'!L328+'DOE25'!L333+'DOE25'!L334+'DOE25'!L335-F31-G31</f>
        <v>135311.84</v>
      </c>
      <c r="E31" s="243"/>
      <c r="F31" s="255">
        <f>'DOE25'!J290+'DOE25'!J309+'DOE25'!J328+'DOE25'!J333+'DOE25'!J334+'DOE25'!J335</f>
        <v>4202</v>
      </c>
      <c r="G31" s="53">
        <f>'DOE25'!K290+'DOE25'!K309+'DOE25'!K328+'DOE25'!K333+'DOE25'!K334+'DOE25'!K335</f>
        <v>1454.2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8122479.0599999987</v>
      </c>
      <c r="E33" s="246">
        <f>SUM(E5:E31)</f>
        <v>149547.89000000001</v>
      </c>
      <c r="F33" s="246">
        <f>SUM(F5:F31)</f>
        <v>135793.03</v>
      </c>
      <c r="G33" s="246">
        <f>SUM(G5:G31)</f>
        <v>18202.46</v>
      </c>
      <c r="H33" s="246">
        <f>SUM(H5:H31)</f>
        <v>134430</v>
      </c>
    </row>
    <row r="35" spans="2:8" ht="12" thickBot="1" x14ac:dyDescent="0.25">
      <c r="B35" s="253" t="s">
        <v>847</v>
      </c>
      <c r="D35" s="254">
        <f>E33</f>
        <v>149547.89000000001</v>
      </c>
      <c r="E35" s="249"/>
    </row>
    <row r="36" spans="2:8" ht="12" thickTop="1" x14ac:dyDescent="0.2">
      <c r="B36" t="s">
        <v>815</v>
      </c>
      <c r="D36" s="20">
        <f>D33</f>
        <v>8122479.0599999987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 HAMPTON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305817.19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234007.29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17552.540000000074</v>
      </c>
      <c r="D11" s="95">
        <f>'DOE25'!G12</f>
        <v>2649.4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3728.45</v>
      </c>
      <c r="D12" s="95">
        <f>'DOE25'!G13</f>
        <v>2112.06</v>
      </c>
      <c r="E12" s="95">
        <f>'DOE25'!H13</f>
        <v>20849.57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4507.7700000000004</v>
      </c>
      <c r="D13" s="95">
        <f>'DOE25'!G14</f>
        <v>35.5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7258.4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331605.95000000013</v>
      </c>
      <c r="D18" s="41">
        <f>SUM(D8:D17)</f>
        <v>12055.36</v>
      </c>
      <c r="E18" s="41">
        <f>SUM(E8:E17)</f>
        <v>20849.57</v>
      </c>
      <c r="F18" s="41">
        <f>SUM(F8:F17)</f>
        <v>0</v>
      </c>
      <c r="G18" s="41">
        <f>SUM(G8:G17)</f>
        <v>234007.29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20201.23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21928.82</v>
      </c>
      <c r="D23" s="95">
        <f>'DOE25'!G24</f>
        <v>314.20999999999998</v>
      </c>
      <c r="E23" s="95">
        <f>'DOE25'!H24</f>
        <v>648.34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3554.87</v>
      </c>
      <c r="D27" s="95">
        <f>'DOE25'!G28</f>
        <v>25.64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34449.06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4393.9799999999996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59932.75</v>
      </c>
      <c r="D31" s="41">
        <f>SUM(D21:D30)</f>
        <v>4733.83</v>
      </c>
      <c r="E31" s="41">
        <f>SUM(E21:E30)</f>
        <v>20849.57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7258.4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63.13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16198.82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234007.29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11628.46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118845.92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271673.2</v>
      </c>
      <c r="D50" s="41">
        <f>SUM(D34:D49)</f>
        <v>7321.53</v>
      </c>
      <c r="E50" s="41">
        <f>SUM(E34:E49)</f>
        <v>0</v>
      </c>
      <c r="F50" s="41">
        <f>SUM(F34:F49)</f>
        <v>0</v>
      </c>
      <c r="G50" s="41">
        <f>SUM(G34:G49)</f>
        <v>234007.29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331605.95</v>
      </c>
      <c r="D51" s="41">
        <f>D50+D31</f>
        <v>12055.36</v>
      </c>
      <c r="E51" s="41">
        <f>E50+E31</f>
        <v>20849.57</v>
      </c>
      <c r="F51" s="41">
        <f>F50+F31</f>
        <v>0</v>
      </c>
      <c r="G51" s="41">
        <f>G50+G31</f>
        <v>234007.29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6146854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23788.15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86.39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544.61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116949.29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140847.19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164721.73000000001</v>
      </c>
      <c r="D62" s="130">
        <f>SUM(D57:D61)</f>
        <v>116949.29</v>
      </c>
      <c r="E62" s="130">
        <f>SUM(E57:E61)</f>
        <v>0</v>
      </c>
      <c r="F62" s="130">
        <f>SUM(F57:F61)</f>
        <v>0</v>
      </c>
      <c r="G62" s="130">
        <f>SUM(G57:G61)</f>
        <v>544.61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6311575.7300000004</v>
      </c>
      <c r="D63" s="22">
        <f>D56+D62</f>
        <v>116949.29</v>
      </c>
      <c r="E63" s="22">
        <f>E56+E62</f>
        <v>0</v>
      </c>
      <c r="F63" s="22">
        <f>F56+F62</f>
        <v>0</v>
      </c>
      <c r="G63" s="22">
        <f>G56+G62</f>
        <v>544.61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171163.44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1812205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1983368.44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2284.88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2284.88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1983368.44</v>
      </c>
      <c r="D81" s="130">
        <f>SUM(D79:D80)+D78+D70</f>
        <v>2284.88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53093.22</v>
      </c>
      <c r="D88" s="95">
        <f>SUM('DOE25'!G153:G161)</f>
        <v>41889.56</v>
      </c>
      <c r="E88" s="95">
        <f>SUM('DOE25'!H153:H161)</f>
        <v>140968.03999999998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53093.22</v>
      </c>
      <c r="D91" s="131">
        <f>SUM(D85:D90)</f>
        <v>41889.56</v>
      </c>
      <c r="E91" s="131">
        <f>SUM(E85:E90)</f>
        <v>140968.03999999998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15400</v>
      </c>
      <c r="E96" s="95">
        <f>'DOE25'!H179</f>
        <v>0</v>
      </c>
      <c r="F96" s="95">
        <f>'DOE25'!I179</f>
        <v>48337</v>
      </c>
      <c r="G96" s="95">
        <f>'DOE25'!J179</f>
        <v>135000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204000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204000</v>
      </c>
      <c r="D103" s="86">
        <f>SUM(D93:D102)</f>
        <v>15400</v>
      </c>
      <c r="E103" s="86">
        <f>SUM(E93:E102)</f>
        <v>0</v>
      </c>
      <c r="F103" s="86">
        <f>SUM(F93:F102)</f>
        <v>48337</v>
      </c>
      <c r="G103" s="86">
        <f>SUM(G93:G102)</f>
        <v>135000</v>
      </c>
    </row>
    <row r="104" spans="1:7" ht="12.75" thickTop="1" thickBot="1" x14ac:dyDescent="0.25">
      <c r="A104" s="33" t="s">
        <v>765</v>
      </c>
      <c r="C104" s="86">
        <f>C63+C81+C91+C103</f>
        <v>8552037.3900000006</v>
      </c>
      <c r="D104" s="86">
        <f>D63+D81+D91+D103</f>
        <v>176523.72999999998</v>
      </c>
      <c r="E104" s="86">
        <f>E63+E81+E91+E103</f>
        <v>140968.03999999998</v>
      </c>
      <c r="F104" s="86">
        <f>F63+F81+F91+F103</f>
        <v>48337</v>
      </c>
      <c r="G104" s="86">
        <f>G63+G81+G103</f>
        <v>135544.60999999999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3472359.86</v>
      </c>
      <c r="D109" s="24" t="s">
        <v>289</v>
      </c>
      <c r="E109" s="95">
        <f>('DOE25'!L276)+('DOE25'!L295)+('DOE25'!L314)</f>
        <v>44117.32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1867517.83</v>
      </c>
      <c r="D110" s="24" t="s">
        <v>289</v>
      </c>
      <c r="E110" s="95">
        <f>('DOE25'!L277)+('DOE25'!L296)+('DOE25'!L315)</f>
        <v>85049.290000000008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119092.27</v>
      </c>
      <c r="D112" s="24" t="s">
        <v>289</v>
      </c>
      <c r="E112" s="95">
        <f>+('DOE25'!L279)+('DOE25'!L298)+('DOE25'!L317)</f>
        <v>2602.5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5458969.959999999</v>
      </c>
      <c r="D115" s="86">
        <f>SUM(D109:D114)</f>
        <v>0</v>
      </c>
      <c r="E115" s="86">
        <f>SUM(E109:E114)</f>
        <v>131769.11000000002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441228.49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580010.82999999996</v>
      </c>
      <c r="D119" s="24" t="s">
        <v>289</v>
      </c>
      <c r="E119" s="95">
        <f>+('DOE25'!L282)+('DOE25'!L301)+('DOE25'!L320)</f>
        <v>1864.3200000000002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248265.07</v>
      </c>
      <c r="D120" s="24" t="s">
        <v>289</v>
      </c>
      <c r="E120" s="95">
        <f>+('DOE25'!L283)+('DOE25'!L302)+('DOE25'!L321)</f>
        <v>7334.61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408484.41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620745.93000000005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362231.81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299.25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174485.58000000005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2661265.79</v>
      </c>
      <c r="D128" s="86">
        <f>SUM(D118:D127)</f>
        <v>174485.58000000005</v>
      </c>
      <c r="E128" s="86">
        <f>SUM(E118:E127)</f>
        <v>9198.93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42813.4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85000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49430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204000</v>
      </c>
    </row>
    <row r="135" spans="1:7" x14ac:dyDescent="0.2">
      <c r="A135" t="s">
        <v>233</v>
      </c>
      <c r="B135" s="32" t="s">
        <v>234</v>
      </c>
      <c r="C135" s="95">
        <f>'DOE25'!L263</f>
        <v>15400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48337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0.43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135544.18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-544.60999999998603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375980.4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204000</v>
      </c>
    </row>
    <row r="145" spans="1:9" ht="12.75" thickTop="1" thickBot="1" x14ac:dyDescent="0.25">
      <c r="A145" s="33" t="s">
        <v>244</v>
      </c>
      <c r="C145" s="86">
        <f>(C115+C128+C144)</f>
        <v>8496216.1499999985</v>
      </c>
      <c r="D145" s="86">
        <f>(D115+D128+D144)</f>
        <v>174485.58000000005</v>
      </c>
      <c r="E145" s="86">
        <f>(E115+E128+E144)</f>
        <v>140968.04</v>
      </c>
      <c r="F145" s="86">
        <f>(F115+F128+F144)</f>
        <v>0</v>
      </c>
      <c r="G145" s="86">
        <f>(G115+G128+G144)</f>
        <v>204000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August 2013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August 2023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1200000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2.61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960000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960000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85000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85000</v>
      </c>
    </row>
    <row r="159" spans="1:9" x14ac:dyDescent="0.2">
      <c r="A159" s="22" t="s">
        <v>35</v>
      </c>
      <c r="B159" s="137">
        <f>'DOE25'!F498</f>
        <v>875000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875000</v>
      </c>
    </row>
    <row r="160" spans="1:9" x14ac:dyDescent="0.2">
      <c r="A160" s="22" t="s">
        <v>36</v>
      </c>
      <c r="B160" s="137">
        <f>'DOE25'!F499</f>
        <v>200666.25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200666.25</v>
      </c>
    </row>
    <row r="161" spans="1:7" x14ac:dyDescent="0.2">
      <c r="A161" s="22" t="s">
        <v>37</v>
      </c>
      <c r="B161" s="137">
        <f>'DOE25'!F500</f>
        <v>1075666.25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1075666.25</v>
      </c>
    </row>
    <row r="162" spans="1:7" x14ac:dyDescent="0.2">
      <c r="A162" s="22" t="s">
        <v>38</v>
      </c>
      <c r="B162" s="137">
        <f>'DOE25'!F501</f>
        <v>90000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90000</v>
      </c>
    </row>
    <row r="163" spans="1:7" x14ac:dyDescent="0.2">
      <c r="A163" s="22" t="s">
        <v>39</v>
      </c>
      <c r="B163" s="137">
        <f>'DOE25'!F502</f>
        <v>44742.5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44742.5</v>
      </c>
    </row>
    <row r="164" spans="1:7" x14ac:dyDescent="0.2">
      <c r="A164" s="22" t="s">
        <v>246</v>
      </c>
      <c r="B164" s="137">
        <f>'DOE25'!F503</f>
        <v>134742.5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134742.5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NORTH HAMPTON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19045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19045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3516477</v>
      </c>
      <c r="D10" s="182">
        <f>ROUND((C10/$C$28)*100,1)</f>
        <v>42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1952567</v>
      </c>
      <c r="D11" s="182">
        <f>ROUND((C11/$C$28)*100,1)</f>
        <v>23.3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121695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441228</v>
      </c>
      <c r="D15" s="182">
        <f t="shared" ref="D15:D27" si="0">ROUND((C15/$C$28)*100,1)</f>
        <v>5.3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581875</v>
      </c>
      <c r="D16" s="182">
        <f t="shared" si="0"/>
        <v>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255899</v>
      </c>
      <c r="D17" s="182">
        <f t="shared" si="0"/>
        <v>3.1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408484</v>
      </c>
      <c r="D18" s="182">
        <f t="shared" si="0"/>
        <v>4.9000000000000004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620746</v>
      </c>
      <c r="D20" s="182">
        <f t="shared" si="0"/>
        <v>7.4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362232</v>
      </c>
      <c r="D21" s="182">
        <f t="shared" si="0"/>
        <v>4.3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49430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57536.710000000006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8368169.71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42813</v>
      </c>
    </row>
    <row r="30" spans="1:4" x14ac:dyDescent="0.2">
      <c r="B30" s="187" t="s">
        <v>729</v>
      </c>
      <c r="C30" s="180">
        <f>SUM(C28:C29)</f>
        <v>8410982.7100000009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85000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6146854</v>
      </c>
      <c r="D35" s="182">
        <f t="shared" ref="D35:D40" si="1">ROUND((C35/$C$41)*100,1)</f>
        <v>72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165266.34000000078</v>
      </c>
      <c r="D36" s="182">
        <f t="shared" si="1"/>
        <v>1.9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1983368</v>
      </c>
      <c r="D37" s="182">
        <f t="shared" si="1"/>
        <v>23.2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2285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235951</v>
      </c>
      <c r="D39" s="182">
        <f t="shared" si="1"/>
        <v>2.8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8533724.3399999999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NORTH HAMPTON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>
        <v>3</v>
      </c>
      <c r="B4" s="219">
        <v>24</v>
      </c>
      <c r="C4" s="286" t="s">
        <v>913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2016-08-25T16:49:54Z</cp:lastPrinted>
  <dcterms:created xsi:type="dcterms:W3CDTF">1997-12-04T19:04:30Z</dcterms:created>
  <dcterms:modified xsi:type="dcterms:W3CDTF">2016-08-25T16:50:38Z</dcterms:modified>
</cp:coreProperties>
</file>