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28" i="1" l="1"/>
  <c r="F665" i="1" l="1"/>
  <c r="H236" i="1"/>
  <c r="J236" i="1"/>
  <c r="J604" i="1"/>
  <c r="H604" i="1"/>
  <c r="J591" i="1"/>
  <c r="J593" i="1"/>
  <c r="J595" i="1"/>
  <c r="H595" i="1"/>
  <c r="H594" i="1"/>
  <c r="J592" i="1"/>
  <c r="H592" i="1"/>
  <c r="H591" i="1"/>
  <c r="F579" i="1"/>
  <c r="H543" i="1"/>
  <c r="H541" i="1"/>
  <c r="H521" i="1"/>
  <c r="H536" i="1"/>
  <c r="K531" i="1"/>
  <c r="I533" i="1"/>
  <c r="I531" i="1"/>
  <c r="H533" i="1"/>
  <c r="H531" i="1"/>
  <c r="G533" i="1"/>
  <c r="G531" i="1"/>
  <c r="F533" i="1"/>
  <c r="F531" i="1"/>
  <c r="G521" i="1"/>
  <c r="F521" i="1"/>
  <c r="H523" i="1"/>
  <c r="H528" i="1"/>
  <c r="H526" i="1"/>
  <c r="I523" i="1"/>
  <c r="I521" i="1"/>
  <c r="G523" i="1"/>
  <c r="F523" i="1"/>
  <c r="J360" i="1"/>
  <c r="H360" i="1"/>
  <c r="J358" i="1"/>
  <c r="H358" i="1"/>
  <c r="H319" i="1"/>
  <c r="H315" i="1"/>
  <c r="I333" i="1"/>
  <c r="G333" i="1"/>
  <c r="F333" i="1"/>
  <c r="J314" i="1"/>
  <c r="I314" i="1"/>
  <c r="H314" i="1"/>
  <c r="G314" i="1"/>
  <c r="F314" i="1"/>
  <c r="H281" i="1"/>
  <c r="H277" i="1"/>
  <c r="J276" i="1"/>
  <c r="I276" i="1"/>
  <c r="H276" i="1"/>
  <c r="G276" i="1"/>
  <c r="F276" i="1"/>
  <c r="H234" i="1"/>
  <c r="H243" i="1"/>
  <c r="K240" i="1"/>
  <c r="H240" i="1"/>
  <c r="G240" i="1"/>
  <c r="F240" i="1"/>
  <c r="H207" i="1"/>
  <c r="H204" i="1"/>
  <c r="K204" i="1"/>
  <c r="G204" i="1"/>
  <c r="F204" i="1"/>
  <c r="H233" i="1"/>
  <c r="H244" i="1"/>
  <c r="K241" i="1"/>
  <c r="I241" i="1"/>
  <c r="H241" i="1"/>
  <c r="G241" i="1"/>
  <c r="F241" i="1"/>
  <c r="H238" i="1"/>
  <c r="I234" i="1"/>
  <c r="G234" i="1"/>
  <c r="F234" i="1"/>
  <c r="I243" i="1"/>
  <c r="G243" i="1"/>
  <c r="F243" i="1"/>
  <c r="J241" i="1"/>
  <c r="G239" i="1"/>
  <c r="F239" i="1"/>
  <c r="I239" i="1"/>
  <c r="H239" i="1"/>
  <c r="J238" i="1"/>
  <c r="I238" i="1"/>
  <c r="G238" i="1"/>
  <c r="F238" i="1"/>
  <c r="K238" i="1"/>
  <c r="G236" i="1"/>
  <c r="F236" i="1"/>
  <c r="K236" i="1"/>
  <c r="I236" i="1"/>
  <c r="H235" i="1"/>
  <c r="K233" i="1"/>
  <c r="J233" i="1"/>
  <c r="I233" i="1"/>
  <c r="G233" i="1"/>
  <c r="F233" i="1"/>
  <c r="H208" i="1"/>
  <c r="K205" i="1"/>
  <c r="I205" i="1"/>
  <c r="H205" i="1"/>
  <c r="G205" i="1"/>
  <c r="F205" i="1"/>
  <c r="H198" i="1"/>
  <c r="I198" i="1"/>
  <c r="G198" i="1"/>
  <c r="F198" i="1"/>
  <c r="I207" i="1"/>
  <c r="G207" i="1"/>
  <c r="F207" i="1"/>
  <c r="G203" i="1"/>
  <c r="F203" i="1"/>
  <c r="I203" i="1"/>
  <c r="H203" i="1"/>
  <c r="J202" i="1"/>
  <c r="I202" i="1"/>
  <c r="G202" i="1"/>
  <c r="F202" i="1"/>
  <c r="H202" i="1"/>
  <c r="G200" i="1"/>
  <c r="F200" i="1"/>
  <c r="I200" i="1"/>
  <c r="H200" i="1"/>
  <c r="K197" i="1"/>
  <c r="J197" i="1"/>
  <c r="I197" i="1"/>
  <c r="H197" i="1"/>
  <c r="G197" i="1"/>
  <c r="F197" i="1"/>
  <c r="H255" i="1"/>
  <c r="J205" i="1"/>
  <c r="J203" i="1"/>
  <c r="K200" i="1"/>
  <c r="J200" i="1"/>
  <c r="G158" i="1"/>
  <c r="F12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E8" i="13" s="1"/>
  <c r="C8" i="13" s="1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L243" i="1"/>
  <c r="D14" i="13" s="1"/>
  <c r="C14" i="13" s="1"/>
  <c r="F15" i="13"/>
  <c r="G15" i="13"/>
  <c r="L208" i="1"/>
  <c r="H647" i="1" s="1"/>
  <c r="L226" i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E118" i="2" s="1"/>
  <c r="E12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7" i="10"/>
  <c r="C19" i="10"/>
  <c r="L250" i="1"/>
  <c r="L332" i="1"/>
  <c r="L254" i="1"/>
  <c r="L268" i="1"/>
  <c r="L269" i="1"/>
  <c r="L349" i="1"/>
  <c r="L350" i="1"/>
  <c r="I665" i="1"/>
  <c r="I670" i="1"/>
  <c r="L229" i="1"/>
  <c r="F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2" i="2"/>
  <c r="C113" i="2"/>
  <c r="E113" i="2"/>
  <c r="C114" i="2"/>
  <c r="E114" i="2"/>
  <c r="D115" i="2"/>
  <c r="F115" i="2"/>
  <c r="G115" i="2"/>
  <c r="E119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J643" i="1" s="1"/>
  <c r="G401" i="1"/>
  <c r="H401" i="1"/>
  <c r="I401" i="1"/>
  <c r="F407" i="1"/>
  <c r="G407" i="1"/>
  <c r="H407" i="1"/>
  <c r="I407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H476" i="1" s="1"/>
  <c r="H624" i="1" s="1"/>
  <c r="J624" i="1" s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3" i="1"/>
  <c r="G644" i="1"/>
  <c r="H644" i="1"/>
  <c r="J644" i="1" s="1"/>
  <c r="G650" i="1"/>
  <c r="G651" i="1"/>
  <c r="G652" i="1"/>
  <c r="H652" i="1"/>
  <c r="G653" i="1"/>
  <c r="H653" i="1"/>
  <c r="G654" i="1"/>
  <c r="H654" i="1"/>
  <c r="H655" i="1"/>
  <c r="F192" i="1"/>
  <c r="L256" i="1"/>
  <c r="C18" i="2"/>
  <c r="C26" i="10"/>
  <c r="L351" i="1"/>
  <c r="A31" i="12"/>
  <c r="D62" i="2"/>
  <c r="D63" i="2" s="1"/>
  <c r="D18" i="13"/>
  <c r="C18" i="13" s="1"/>
  <c r="D15" i="13"/>
  <c r="C15" i="13" s="1"/>
  <c r="D17" i="13"/>
  <c r="C17" i="13" s="1"/>
  <c r="C91" i="2"/>
  <c r="F78" i="2"/>
  <c r="F81" i="2" s="1"/>
  <c r="D31" i="2"/>
  <c r="D50" i="2"/>
  <c r="G157" i="2"/>
  <c r="F18" i="2"/>
  <c r="G161" i="2"/>
  <c r="E103" i="2"/>
  <c r="E62" i="2"/>
  <c r="E63" i="2" s="1"/>
  <c r="E31" i="2"/>
  <c r="G62" i="2"/>
  <c r="D19" i="13"/>
  <c r="C19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G552" i="1"/>
  <c r="I476" i="1"/>
  <c r="H625" i="1" s="1"/>
  <c r="J625" i="1" s="1"/>
  <c r="G476" i="1"/>
  <c r="H623" i="1" s="1"/>
  <c r="J623" i="1" s="1"/>
  <c r="J140" i="1"/>
  <c r="F571" i="1"/>
  <c r="I552" i="1"/>
  <c r="K550" i="1"/>
  <c r="G22" i="2"/>
  <c r="K545" i="1"/>
  <c r="C29" i="10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G192" i="1"/>
  <c r="H192" i="1"/>
  <c r="L309" i="1"/>
  <c r="E16" i="13"/>
  <c r="J655" i="1"/>
  <c r="L570" i="1"/>
  <c r="I571" i="1"/>
  <c r="J636" i="1"/>
  <c r="G36" i="2"/>
  <c r="L565" i="1"/>
  <c r="C22" i="13"/>
  <c r="C138" i="2"/>
  <c r="C16" i="13"/>
  <c r="C78" i="2" l="1"/>
  <c r="C70" i="2"/>
  <c r="J112" i="1"/>
  <c r="J193" i="1" s="1"/>
  <c r="G646" i="1" s="1"/>
  <c r="G645" i="1"/>
  <c r="J645" i="1" s="1"/>
  <c r="K598" i="1"/>
  <c r="G647" i="1" s="1"/>
  <c r="J651" i="1"/>
  <c r="L544" i="1"/>
  <c r="K551" i="1"/>
  <c r="H545" i="1"/>
  <c r="I545" i="1"/>
  <c r="L534" i="1"/>
  <c r="K549" i="1"/>
  <c r="K552" i="1" s="1"/>
  <c r="F552" i="1"/>
  <c r="L524" i="1"/>
  <c r="K503" i="1"/>
  <c r="F476" i="1"/>
  <c r="H622" i="1" s="1"/>
  <c r="J622" i="1" s="1"/>
  <c r="J640" i="1"/>
  <c r="G661" i="1"/>
  <c r="I661" i="1" s="1"/>
  <c r="D29" i="13"/>
  <c r="C29" i="13" s="1"/>
  <c r="D127" i="2"/>
  <c r="D128" i="2" s="1"/>
  <c r="D145" i="2" s="1"/>
  <c r="G338" i="1"/>
  <c r="G352" i="1" s="1"/>
  <c r="F338" i="1"/>
  <c r="F352" i="1" s="1"/>
  <c r="E110" i="2"/>
  <c r="E115" i="2" s="1"/>
  <c r="E145" i="2" s="1"/>
  <c r="L290" i="1"/>
  <c r="E33" i="13"/>
  <c r="D35" i="13" s="1"/>
  <c r="D12" i="13"/>
  <c r="C12" i="13" s="1"/>
  <c r="C110" i="2"/>
  <c r="C20" i="10"/>
  <c r="C121" i="2"/>
  <c r="C112" i="2"/>
  <c r="L247" i="1"/>
  <c r="H660" i="1" s="1"/>
  <c r="H664" i="1" s="1"/>
  <c r="H667" i="1" s="1"/>
  <c r="K257" i="1"/>
  <c r="K271" i="1" s="1"/>
  <c r="J257" i="1"/>
  <c r="J271" i="1" s="1"/>
  <c r="I257" i="1"/>
  <c r="I271" i="1" s="1"/>
  <c r="H257" i="1"/>
  <c r="H271" i="1" s="1"/>
  <c r="G257" i="1"/>
  <c r="G271" i="1" s="1"/>
  <c r="F257" i="1"/>
  <c r="F271" i="1" s="1"/>
  <c r="C10" i="10"/>
  <c r="C109" i="2"/>
  <c r="G649" i="1"/>
  <c r="J649" i="1" s="1"/>
  <c r="F662" i="1"/>
  <c r="I662" i="1" s="1"/>
  <c r="C124" i="2"/>
  <c r="C25" i="10"/>
  <c r="H33" i="13"/>
  <c r="J647" i="1"/>
  <c r="C123" i="2"/>
  <c r="D7" i="13"/>
  <c r="C7" i="13" s="1"/>
  <c r="C16" i="10"/>
  <c r="C119" i="2"/>
  <c r="C15" i="10"/>
  <c r="D6" i="13"/>
  <c r="C6" i="13" s="1"/>
  <c r="C13" i="10"/>
  <c r="D5" i="13"/>
  <c r="C5" i="13" s="1"/>
  <c r="L211" i="1"/>
  <c r="C62" i="2"/>
  <c r="C63" i="2" s="1"/>
  <c r="C35" i="10"/>
  <c r="F11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F104" i="2"/>
  <c r="H193" i="1"/>
  <c r="G629" i="1" s="1"/>
  <c r="J629" i="1" s="1"/>
  <c r="G169" i="1"/>
  <c r="C39" i="10" s="1"/>
  <c r="G140" i="1"/>
  <c r="F140" i="1"/>
  <c r="G63" i="2"/>
  <c r="J618" i="1"/>
  <c r="G667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C27" i="10"/>
  <c r="G635" i="1"/>
  <c r="J635" i="1" s="1"/>
  <c r="C81" i="2" l="1"/>
  <c r="C104" i="2" s="1"/>
  <c r="H646" i="1"/>
  <c r="J646" i="1" s="1"/>
  <c r="G104" i="2"/>
  <c r="L545" i="1"/>
  <c r="L338" i="1"/>
  <c r="L352" i="1" s="1"/>
  <c r="G633" i="1" s="1"/>
  <c r="J633" i="1" s="1"/>
  <c r="D31" i="13"/>
  <c r="C31" i="13" s="1"/>
  <c r="C115" i="2"/>
  <c r="L257" i="1"/>
  <c r="L271" i="1" s="1"/>
  <c r="G632" i="1" s="1"/>
  <c r="J632" i="1" s="1"/>
  <c r="H648" i="1"/>
  <c r="J648" i="1" s="1"/>
  <c r="H672" i="1"/>
  <c r="C6" i="10" s="1"/>
  <c r="C128" i="2"/>
  <c r="C28" i="10"/>
  <c r="D23" i="10" s="1"/>
  <c r="F660" i="1"/>
  <c r="F664" i="1" s="1"/>
  <c r="F193" i="1"/>
  <c r="G627" i="1" s="1"/>
  <c r="J627" i="1" s="1"/>
  <c r="C36" i="10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C145" i="2"/>
  <c r="D20" i="10"/>
  <c r="D15" i="10"/>
  <c r="D25" i="10"/>
  <c r="D19" i="10"/>
  <c r="D13" i="10"/>
  <c r="D11" i="10"/>
  <c r="D21" i="10"/>
  <c r="D22" i="10"/>
  <c r="D27" i="10"/>
  <c r="D18" i="10"/>
  <c r="D17" i="10"/>
  <c r="D12" i="10"/>
  <c r="D24" i="10"/>
  <c r="D10" i="10"/>
  <c r="D26" i="10"/>
  <c r="C30" i="10"/>
  <c r="D16" i="10"/>
  <c r="I660" i="1"/>
  <c r="I664" i="1" s="1"/>
  <c r="I672" i="1" s="1"/>
  <c r="C7" i="10" s="1"/>
  <c r="F672" i="1"/>
  <c r="C4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<sst xmlns="http://schemas.openxmlformats.org/spreadsheetml/2006/main" count="3957" uniqueCount="915">
  <si>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</si>
  <si>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</si>
  <si>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</si>
  <si>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</si>
  <si>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</si>
  <si>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</si>
  <si>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</si>
  <si>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</si>
  <si>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</si>
  <si>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</si>
  <si>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</si>
  <si>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</si>
  <si>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</si>
  <si>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</si>
  <si>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</si>
  <si>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</si>
  <si>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</si>
  <si>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</si>
  <si>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</si>
  <si>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</si>
  <si>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</si>
  <si>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</si>
  <si>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</si>
  <si>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</si>
  <si>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</si>
  <si>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</si>
  <si>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</si>
  <si>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</si>
  <si>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</si>
  <si>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</si>
  <si>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</si>
  <si>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</si>
  <si>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</si>
  <si>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</si>
  <si>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</si>
  <si>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</si>
  <si>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</si>
  <si>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</si>
  <si>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</si>
  <si>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</si>
  <si>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</si>
  <si>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</si>
  <si>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</si>
  <si>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</si>
  <si>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</si>
  <si>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</si>
  <si>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</si>
  <si>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</si>
  <si>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</si>
  <si>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</si>
  <si>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</si>
  <si>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</si>
  <si>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</si>
  <si>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</si>
  <si>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</si>
  <si>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</si>
  <si>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</si>
  <si>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</si>
  <si>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</si>
  <si>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</si>
  <si>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</si>
  <si>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</si>
  <si>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</si>
  <si>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</si>
  <si>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</si>
  <si>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</si>
  <si>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</si>
  <si>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</si>
  <si>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</si>
  <si>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</si>
  <si>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</si>
  <si>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</si>
  <si>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</si>
  <si>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</si>
  <si>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</si>
  <si>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</si>
  <si>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</si>
  <si>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</si>
  <si>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</si>
  <si>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</si>
  <si>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</si>
  <si>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</si>
  <si>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</si>
  <si>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</si>
  <si>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</si>
  <si>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</si>
  <si>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</si>
  <si>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</si>
  <si>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</si>
  <si>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</si>
  <si>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</si>
  <si>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</si>
  <si>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</si>
  <si>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</si>
  <si>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</si>
  <si>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</si>
  <si>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</si>
  <si>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</si>
  <si>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</si>
  <si>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</si>
  <si>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</si>
  <si>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</si>
  <si>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</si>
  <si>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</si>
  <si>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</si>
  <si>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</si>
  <si>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</si>
  <si>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</si>
  <si>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</si>
  <si>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</si>
  <si>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</si>
  <si>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</si>
  <si>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</si>
  <si>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</si>
  <si>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</si>
  <si>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</si>
  <si>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</si>
  <si>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</si>
  <si>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</si>
  <si>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</si>
  <si>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</si>
  <si>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</si>
  <si>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</si>
  <si>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</si>
  <si>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</si>
  <si>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</si>
  <si>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</si>
  <si>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</si>
  <si>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</si>
  <si>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</si>
  <si>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</si>
  <si>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</si>
  <si>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</si>
  <si>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</si>
  <si>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</si>
  <si>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</si>
  <si>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</si>
  <si>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</si>
  <si>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</si>
  <si>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</si>
  <si>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</si>
  <si>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</si>
  <si>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</si>
  <si>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</si>
  <si>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</si>
  <si>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</si>
  <si>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</si>
  <si>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</si>
  <si>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</si>
  <si>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</si>
  <si>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</si>
  <si>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</si>
  <si>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</si>
  <si>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</si>
  <si>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</si>
  <si>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</si>
  <si>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</si>
  <si>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</si>
  <si>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</si>
  <si>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</si>
  <si>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</si>
  <si>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</si>
  <si>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</si>
  <si>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</si>
  <si>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</si>
  <si>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</si>
  <si>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</si>
  <si>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</si>
  <si>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</si>
  <si>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</si>
  <si>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</si>
  <si>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</si>
  <si>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</si>
  <si>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</si>
  <si>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</si>
  <si>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</si>
  <si>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</si>
  <si>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</si>
  <si>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</si>
  <si>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</si>
  <si>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</si>
  <si>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</si>
  <si>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</si>
  <si>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</si>
  <si>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</si>
  <si>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</si>
  <si>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</si>
  <si>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</si>
  <si>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</si>
  <si>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</si>
  <si>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</si>
  <si>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</si>
  <si>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</si>
  <si>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</si>
  <si>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</si>
  <si>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</si>
  <si>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</si>
  <si>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</si>
  <si>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</si>
  <si>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</si>
  <si>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</si>
  <si>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</si>
  <si>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</si>
  <si>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</si>
  <si>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</si>
  <si>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</si>
  <si>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</si>
  <si>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</si>
  <si>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</si>
  <si>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</si>
  <si>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</si>
  <si>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</si>
  <si>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</si>
  <si>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</si>
  <si>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</si>
  <si>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</si>
  <si>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</si>
  <si>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</si>
  <si>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</si>
  <si>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</si>
  <si>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</si>
  <si>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</si>
  <si>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</si>
  <si>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</si>
  <si>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</si>
  <si>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</si>
  <si>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</si>
  <si>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</si>
  <si>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</si>
  <si>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</si>
  <si>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</si>
  <si>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</si>
  <si>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</si>
  <si>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</si>
  <si>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</si>
  <si>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</si>
  <si>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</si>
  <si>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</si>
  <si>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</si>
  <si>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</si>
  <si>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</si>
  <si>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</si>
  <si>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</si>
  <si>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</si>
  <si>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</si>
  <si>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</si>
  <si>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</si>
  <si>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</si>
  <si>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</si>
  <si>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</si>
  <si>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</si>
  <si>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</si>
  <si>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</si>
  <si>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</si>
  <si>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</si>
  <si>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</si>
  <si>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</si>
  <si>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</si>
  <si>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</si>
  <si>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</si>
  <si>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</si>
  <si>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</si>
  <si>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</si>
  <si>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</si>
  <si>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</si>
  <si>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</si>
  <si>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</si>
  <si>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</si>
  <si>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</si>
  <si>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</si>
  <si>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</si>
  <si>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</si>
  <si>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</si>
  <si>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</si>
  <si>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</si>
  <si>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</si>
  <si>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</si>
  <si>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</si>
  <si>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</si>
  <si>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</si>
  <si>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</si>
  <si>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</si>
  <si>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</si>
  <si>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</si>
  <si>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</si>
  <si>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</si>
  <si>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</si>
  <si>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</si>
  <si>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</si>
  <si>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</si>
  <si>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</si>
  <si>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</si>
  <si>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</si>
  <si>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</si>
  <si>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</si>
  <si>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</si>
  <si>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</si>
  <si>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</si>
  <si>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</si>
  <si>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</si>
  <si>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</si>
  <si>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</si>
  <si>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</si>
  <si>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</si>
  <si>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</si>
  <si>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</si>
  <si>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</si>
  <si>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</si>
  <si>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</si>
  <si>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</si>
  <si>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</si>
  <si>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</si>
  <si>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</si>
  <si>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</si>
  <si>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</si>
  <si>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</si>
  <si>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</si>
  <si>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</si>
  <si>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</si>
  <si>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</si>
  <si>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</si>
  <si>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</si>
  <si>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</si>
  <si>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</si>
  <si>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</si>
  <si>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</si>
  <si>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</si>
  <si>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</si>
  <si>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</si>
  <si>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</si>
  <si>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</si>
  <si>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</si>
  <si>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</si>
  <si>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</si>
  <si>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</si>
  <si>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</si>
  <si>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</si>
  <si>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</si>
  <si>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</si>
  <si>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</si>
  <si>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</si>
  <si>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</si>
  <si>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</si>
  <si>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</si>
  <si>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</si>
  <si>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</si>
  <si>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</si>
  <si>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</si>
  <si>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</si>
  <si>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</si>
  <si>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</si>
  <si>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</si>
  <si>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</si>
  <si>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</si>
  <si>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</si>
  <si>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</si>
  <si>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</si>
  <si>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</si>
  <si>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</si>
  <si>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</si>
  <si>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</si>
  <si>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</si>
  <si>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</si>
  <si>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</si>
  <si>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</si>
  <si>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</si>
  <si>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</si>
  <si>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</si>
  <si>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</si>
  <si>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</si>
  <si>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</si>
  <si>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</si>
  <si>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</si>
  <si>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</si>
  <si>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</si>
  <si>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</si>
  <si>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</si>
  <si>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</si>
  <si>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</si>
  <si>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</si>
  <si>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</si>
  <si>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</si>
  <si>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</si>
  <si>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</si>
  <si>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</si>
  <si>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</si>
  <si>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</si>
  <si>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</si>
  <si>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</si>
  <si>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</si>
  <si>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</si>
  <si>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</si>
  <si>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</si>
  <si>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</si>
  <si>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</si>
  <si>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</si>
  <si>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</si>
  <si>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</si>
  <si>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</si>
  <si>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</si>
  <si>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</si>
  <si>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</si>
  <si>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</si>
  <si>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</si>
  <si>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</si>
  <si>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</si>
  <si>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</si>
  <si>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</si>
  <si>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</si>
  <si>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</si>
  <si>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</si>
  <si>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</si>
  <si>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</si>
  <si>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</si>
  <si>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</si>
  <si>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</si>
  <si>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</si>
  <si>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</si>
  <si>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</si>
  <si>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</si>
  <si>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</si>
  <si>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</si>
  <si>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</si>
  <si>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</si>
  <si>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</si>
  <si>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</si>
  <si>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</si>
  <si>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</si>
  <si>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</si>
  <si>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</si>
  <si>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</si>
  <si>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</si>
  <si>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</si>
  <si>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</si>
  <si>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</si>
  <si>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</si>
  <si>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</si>
  <si>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</si>
  <si>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</si>
  <si>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</si>
  <si>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</si>
  <si>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</si>
  <si>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</si>
  <si>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</si>
  <si>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</si>
  <si>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</si>
  <si>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</si>
  <si>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</si>
  <si>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</si>
  <si>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</si>
  <si>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</si>
  <si>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</si>
  <si>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</si>
  <si>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</si>
  <si>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</si>
  <si>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</si>
  <si>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</si>
  <si>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</si>
  <si>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</si>
  <si>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</si>
  <si>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</si>
  <si>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</si>
  <si>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</si>
  <si>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</si>
  <si>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</si>
  <si>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</si>
  <si>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</si>
  <si>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</si>
  <si>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</si>
  <si>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</si>
  <si>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</si>
  <si>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</si>
  <si>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</si>
  <si>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</si>
  <si>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</si>
  <si>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</si>
  <si>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</si>
  <si>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</si>
  <si>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</si>
  <si>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</si>
  <si>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</si>
  <si>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</si>
  <si>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</si>
  <si>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</si>
  <si>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</si>
  <si>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</si>
  <si>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</si>
  <si>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</si>
  <si>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</si>
  <si>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</si>
  <si>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</si>
  <si>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</si>
  <si>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</si>
  <si>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</si>
  <si>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</si>
  <si>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</si>
  <si>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</si>
  <si>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</si>
  <si>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</si>
  <si>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</si>
  <si>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</si>
  <si>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</si>
  <si>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</si>
  <si>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</si>
  <si>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</si>
  <si>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</si>
  <si>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</si>
  <si>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</si>
  <si>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</si>
  <si>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</si>
  <si>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</si>
  <si>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</si>
  <si>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</si>
  <si>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</si>
  <si>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</si>
  <si>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</si>
  <si>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</si>
  <si>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</si>
  <si>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</si>
  <si>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</si>
  <si>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</si>
  <si>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</si>
  <si>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</si>
  <si>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</si>
  <si>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</si>
  <si>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</si>
  <si>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</si>
  <si>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</si>
  <si>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</si>
  <si>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</si>
  <si>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</si>
  <si>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</si>
  <si>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</si>
  <si>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</si>
  <si>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</si>
  <si>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</si>
  <si>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</si>
  <si>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</si>
  <si>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</si>
  <si>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</si>
  <si>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</si>
  <si>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</si>
  <si>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</si>
  <si>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</si>
  <si>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</si>
  <si>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</si>
  <si>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</si>
  <si>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</si>
  <si>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</si>
  <si>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</si>
  <si>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</si>
  <si>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</si>
  <si>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</si>
  <si>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</si>
  <si>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</si>
  <si>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</si>
  <si>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</si>
  <si>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</si>
  <si>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</si>
  <si>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</si>
  <si>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</si>
  <si>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</si>
  <si>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</si>
  <si>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</si>
  <si>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</si>
  <si>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</si>
  <si>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</si>
  <si>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</si>
  <si>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</si>
  <si>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</si>
  <si>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</si>
  <si>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</si>
  <si>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</si>
  <si>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</si>
  <si>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</si>
  <si>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</si>
  <si>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</si>
  <si>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</si>
  <si>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</si>
  <si>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</si>
  <si>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</si>
  <si>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</si>
  <si>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</si>
  <si>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</si>
  <si>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</si>
  <si>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</si>
  <si>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</si>
  <si>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</si>
  <si>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</si>
  <si>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</si>
  <si>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</si>
  <si>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</si>
  <si>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</si>
  <si>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</si>
  <si>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</si>
  <si>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</si>
  <si>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</si>
  <si>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</si>
  <si>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</si>
  <si>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</si>
  <si>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</si>
  <si>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</si>
  <si>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</si>
  <si>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</si>
  <si>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</si>
  <si>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</si>
  <si>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</si>
  <si>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</si>
  <si>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</si>
  <si>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</si>
  <si>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</si>
  <si>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</si>
  <si>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</si>
  <si>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</si>
  <si>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</si>
  <si>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</si>
  <si>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</si>
  <si>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</si>
  <si>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</si>
  <si>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</si>
  <si>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</si>
  <si>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</si>
  <si>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</si>
  <si>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</si>
  <si>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</si>
  <si>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</si>
  <si>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</si>
  <si>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</si>
  <si>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</si>
  <si>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</si>
  <si>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</si>
  <si>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</si>
  <si>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</si>
  <si>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</si>
  <si>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</si>
  <si>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</si>
  <si>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</si>
  <si>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</si>
  <si>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</si>
  <si>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</si>
  <si>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</si>
  <si>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</si>
  <si>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</si>
  <si>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</si>
  <si>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</si>
  <si>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</si>
  <si>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</si>
  <si>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</si>
  <si>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</si>
  <si>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</si>
  <si>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</si>
  <si>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</si>
  <si>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</si>
  <si>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</si>
  <si>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</si>
  <si>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</si>
  <si>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</si>
  <si>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</si>
  <si>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</si>
  <si>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</si>
  <si>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</si>
  <si>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</si>
  <si>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</si>
  <si>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</si>
  <si>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</si>
  <si>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</si>
  <si>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</si>
  <si>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</si>
  <si>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</si>
  <si>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</si>
  <si>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</si>
  <si>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</si>
  <si>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</si>
  <si>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</si>
  <si>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</si>
  <si>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</si>
  <si>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</si>
  <si>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</si>
  <si>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</si>
  <si>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</si>
  <si>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</si>
  <si>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</si>
  <si>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</si>
  <si>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</si>
  <si>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</si>
  <si>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</si>
  <si>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</si>
  <si>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</si>
  <si>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</si>
  <si>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</si>
  <si>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</si>
  <si>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</si>
  <si>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</si>
  <si>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</si>
  <si>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</si>
  <si>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</si>
  <si>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</si>
  <si>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</si>
  <si>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</si>
  <si>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</si>
  <si>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</si>
  <si>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</si>
  <si>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</si>
  <si>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</si>
  <si>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</si>
  <si>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</si>
  <si>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</si>
  <si>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</si>
  <si>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</si>
  <si>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</si>
  <si>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</si>
  <si>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</si>
  <si>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</si>
  <si>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</si>
  <si>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</si>
  <si>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</si>
  <si>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</si>
  <si>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</si>
  <si>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</si>
  <si>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</si>
  <si>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</si>
  <si>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</si>
  <si>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</si>
  <si>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</si>
  <si>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</si>
  <si>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</si>
  <si>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</si>
  <si>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</si>
  <si>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</si>
  <si>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</si>
  <si>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</si>
  <si>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</si>
  <si>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</si>
  <si>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</si>
  <si>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</si>
  <si>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</si>
  <si>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</si>
  <si>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</si>
  <si>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</si>
  <si>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</si>
  <si>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</si>
  <si>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</si>
  <si>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</si>
  <si>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</si>
  <si>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</si>
  <si>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</si>
  <si>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</si>
  <si>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</si>
  <si>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</si>
  <si>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</si>
  <si>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</si>
  <si>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</si>
  <si>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</si>
  <si>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</si>
  <si>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</si>
  <si>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</si>
  <si>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</si>
  <si>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</si>
  <si>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</si>
  <si>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</si>
  <si>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</si>
  <si>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</si>
  <si>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</si>
  <si>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</si>
  <si>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</si>
  <si>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</si>
  <si>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</si>
  <si>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</si>
  <si>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</si>
  <si>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</si>
  <si>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</si>
  <si>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</si>
  <si>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</si>
  <si>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</si>
  <si>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</si>
  <si>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</si>
  <si>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</si>
  <si>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</si>
  <si>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</si>
  <si>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</si>
  <si>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</si>
  <si>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</si>
  <si>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</si>
  <si>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</si>
  <si>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</si>
  <si>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</si>
  <si>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</si>
  <si>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</si>
  <si>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</si>
  <si>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</si>
  <si>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</si>
  <si>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</si>
  <si>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</si>
  <si>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</si>
  <si>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</si>
  <si>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</si>
  <si>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</si>
  <si>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</si>
  <si>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</si>
  <si>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</si>
  <si>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</si>
  <si>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</si>
  <si>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</si>
  <si>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</si>
  <si>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</si>
  <si>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</si>
  <si>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</si>
  <si>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</si>
  <si>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</si>
  <si>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</si>
  <si>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</si>
  <si>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</si>
  <si>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</si>
  <si>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</si>
  <si>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</si>
  <si>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</si>
  <si>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</si>
  <si>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</si>
  <si>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</si>
  <si>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</si>
  <si>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</si>
  <si>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</si>
  <si>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</si>
  <si>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</si>
  <si>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</si>
  <si>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</si>
  <si>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</si>
  <si>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</si>
  <si>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</si>
  <si>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</si>
  <si>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</si>
  <si>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</si>
  <si>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</si>
  <si>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</si>
  <si>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</si>
  <si>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</si>
  <si>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</si>
  <si>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</si>
  <si>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</si>
  <si>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</si>
  <si>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</si>
  <si>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</si>
  <si>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</si>
  <si>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</si>
  <si>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</si>
  <si>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</si>
  <si>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</si>
  <si>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</si>
  <si>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</si>
  <si>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</si>
  <si>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</si>
  <si>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</si>
  <si>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</si>
  <si>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</si>
  <si>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</si>
  <si>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</si>
  <si>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</si>
  <si>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</si>
  <si>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</si>
  <si>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</si>
  <si>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</si>
  <si>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</si>
  <si>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</si>
  <si>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</si>
  <si>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</si>
  <si>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</si>
  <si>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</si>
  <si>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</si>
  <si>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</si>
  <si>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</si>
  <si>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</si>
  <si>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</si>
  <si>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</si>
  <si>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</si>
  <si>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</si>
  <si>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</si>
  <si>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</si>
  <si>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</si>
  <si>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</si>
  <si>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</si>
  <si>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</si>
  <si>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</si>
  <si>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</si>
  <si>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</si>
  <si>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</si>
  <si>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</si>
  <si>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</si>
  <si>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</si>
  <si>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</si>
  <si>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</si>
  <si>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</si>
  <si>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</si>
  <si>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</si>
  <si>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</si>
  <si>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</si>
  <si>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</si>
  <si>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</si>
  <si>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</si>
  <si>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</si>
  <si>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</si>
  <si>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</si>
  <si>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</si>
  <si>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</si>
  <si>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</si>
  <si>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</si>
  <si>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</si>
  <si>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</si>
  <si>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</si>
  <si>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</si>
  <si>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</si>
  <si>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</si>
  <si>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</si>
  <si>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NORTHUMBERLAND</t>
  </si>
  <si>
    <t>09/10</t>
  </si>
  <si>
    <t>09/20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</si>
</sst>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407</v>
      </c>
      <c r="C2" s="21">
        <v>407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113993.58+1012</f>
        <v>115005.58</v>
      </c>
      <c r="G9" s="18"/>
      <c r="H9" s="18"/>
      <c r="I9" s="18"/>
      <c r="J9" s="67">
        <f>SUM(I439)</f>
        <v>329364.31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7788+4355.49+58969.84</f>
        <v>71113.33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4355.49</v>
      </c>
      <c r="H14" s="18">
        <v>58969.84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186118.91</v>
      </c>
      <c r="G19" s="41">
        <f>SUM(G9:G18)</f>
        <v>4355.49</v>
      </c>
      <c r="H19" s="41">
        <f>SUM(H9:H18)</f>
        <v>58969.84</v>
      </c>
      <c r="I19" s="41">
        <f>SUM(I9:I18)</f>
        <v>0</v>
      </c>
      <c r="J19" s="41">
        <f>SUM(J9:J18)</f>
        <v>329364.31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4355.49</v>
      </c>
      <c r="H22" s="18">
        <v>58969.84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12000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12000</v>
      </c>
      <c r="G32" s="41">
        <f>SUM(G22:G31)</f>
        <v>4355.49</v>
      </c>
      <c r="H32" s="41">
        <f>SUM(H22:H31)</f>
        <v>58969.84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329364.31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43560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60000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70558.91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174118.91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329364.31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186118.91</v>
      </c>
      <c r="G52" s="41">
        <f>G51+G32</f>
        <v>4355.49</v>
      </c>
      <c r="H52" s="41">
        <f>H51+H32</f>
        <v>58969.84</v>
      </c>
      <c r="I52" s="41">
        <f>I51+I32</f>
        <v>0</v>
      </c>
      <c r="J52" s="41">
        <f>J51+J32</f>
        <v>329364.31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1551066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1551066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621144.96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204661.08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825806.03999999992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1548.23</v>
      </c>
      <c r="G96" s="18"/>
      <c r="H96" s="18"/>
      <c r="I96" s="18"/>
      <c r="J96" s="18">
        <v>973.02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50439.06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10000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39464.33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51012.56</v>
      </c>
      <c r="G111" s="41">
        <f>SUM(G96:G110)</f>
        <v>50439.06</v>
      </c>
      <c r="H111" s="41">
        <f>SUM(H96:H110)</f>
        <v>0</v>
      </c>
      <c r="I111" s="41">
        <f>SUM(I96:I110)</f>
        <v>0</v>
      </c>
      <c r="J111" s="41">
        <f>SUM(J96:J110)</f>
        <v>973.02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2427884.6</v>
      </c>
      <c r="G112" s="41">
        <f>G60+G111</f>
        <v>50439.06</v>
      </c>
      <c r="H112" s="41">
        <f>H60+H79+H94+H111</f>
        <v>0</v>
      </c>
      <c r="I112" s="41">
        <f>I60+I111</f>
        <v>0</v>
      </c>
      <c r="J112" s="41">
        <f>J60+J111</f>
        <v>973.02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2618278.02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191323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1543.22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2811144.24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20571.419999999998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f>20269.82-1543.22</f>
        <v>18726.599999999999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2259.9899999999998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39298.019999999997</v>
      </c>
      <c r="G136" s="41">
        <f>SUM(G123:G135)</f>
        <v>2259.9899999999998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2850442.2600000002</v>
      </c>
      <c r="G140" s="41">
        <f>G121+SUM(G136:G137)</f>
        <v>2259.9899999999998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193686.11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178180.36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101925.25+5982.18</f>
        <v>107907.43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100554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52684.6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52684.6</v>
      </c>
      <c r="G162" s="41">
        <f>SUM(G150:G161)</f>
        <v>107907.43</v>
      </c>
      <c r="H162" s="41">
        <f>SUM(H150:H161)</f>
        <v>472420.47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6511.74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59196.34</v>
      </c>
      <c r="G169" s="41">
        <f>G147+G162+SUM(G163:G168)</f>
        <v>107907.43</v>
      </c>
      <c r="H169" s="41">
        <f>H147+H162+SUM(H163:H168)</f>
        <v>472420.47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4256.6899999999996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4256.6899999999996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19987.36</v>
      </c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19987.36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4256.6899999999996</v>
      </c>
      <c r="G192" s="41">
        <f>G183+SUM(G188:G191)</f>
        <v>19987.36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5341779.8900000006</v>
      </c>
      <c r="G193" s="47">
        <f>G112+G140+G169+G192</f>
        <v>180593.83999999997</v>
      </c>
      <c r="H193" s="47">
        <f>H112+H140+H169+H192</f>
        <v>472420.47</v>
      </c>
      <c r="I193" s="47">
        <f>I112+I140+I169+I192</f>
        <v>0</v>
      </c>
      <c r="J193" s="47">
        <f>J112+J140+J192</f>
        <v>75973.02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430897.45+3087.5+19183.74+19229.94+11864.31+362972.38+15923.25+12802.52+7167.5</f>
        <v>883128.59000000008</v>
      </c>
      <c r="G197" s="18">
        <f>92177.98+2623.61+381.16+36666.4+67612.4+4505.26+3542.23+320.29+19+107555.79+2245.55+277.2+29996.17+56492.42+3397.92+1740+1801.15+137.42+82.58</f>
        <v>411574.52999999997</v>
      </c>
      <c r="H197" s="18">
        <f>1604+5047.1+100+200+1466.62+2707.14+345</f>
        <v>11469.86</v>
      </c>
      <c r="I197" s="18">
        <f>16589.68+766.19+8551.91+224+1908.15+7789.52+198.07+667.27+1056+346.86</f>
        <v>38097.649999999994</v>
      </c>
      <c r="J197" s="18">
        <f>15733.75-8.19+5057.35</f>
        <v>20782.91</v>
      </c>
      <c r="K197" s="18">
        <f>193+311.25</f>
        <v>504.25</v>
      </c>
      <c r="L197" s="19">
        <f>SUM(F197:K197)</f>
        <v>1365557.79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67112.92+130721.31+3872+270+3750+7679.23+18022.51+47524.75+3691.39+968+2257.5+8240.25+945.48</f>
        <v>295055.33999999997</v>
      </c>
      <c r="G198" s="18">
        <f>19232.85+392.73+16252.53+10459.9+495+2436.76+92.54+1378.8+301.9+10.53+2635.71+249.23+4867.5+7606.62+195+38.41-34.59</f>
        <v>66611.420000000013</v>
      </c>
      <c r="H198" s="18">
        <f>1449.5+29037.42+2499.95+3617.48+20173.68+29037.42+34201.9+50128.24+2487.16</f>
        <v>172632.75</v>
      </c>
      <c r="I198" s="18">
        <f>206.47+710.43+195.29+471.19</f>
        <v>1583.38</v>
      </c>
      <c r="J198" s="18"/>
      <c r="K198" s="18"/>
      <c r="L198" s="19">
        <f>SUM(F198:K198)</f>
        <v>535882.89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7310+8381.8+61.04</f>
        <v>15752.84</v>
      </c>
      <c r="G200" s="18">
        <f>559.03+144.36+150+6.66+638.67+318.94+187.52+8.62+4.76+9.63</f>
        <v>2028.1899999999998</v>
      </c>
      <c r="H200" s="18">
        <f>3400+2247</f>
        <v>5647</v>
      </c>
      <c r="I200" s="18">
        <f>467.68+2992.03</f>
        <v>3459.71</v>
      </c>
      <c r="J200" s="18">
        <f>-756.59</f>
        <v>-756.59</v>
      </c>
      <c r="K200" s="18">
        <f>630</f>
        <v>630</v>
      </c>
      <c r="L200" s="19">
        <f>SUM(F200:K200)</f>
        <v>26761.149999999998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56130.62+5460+44492.58+270+18037.41+8412.04+4247.08+12987.62</f>
        <v>150037.35</v>
      </c>
      <c r="G202" s="18">
        <f>302.22+4730+8776.08+233.78+5.24+3424.28+159.58+2348.37+965.49+2826.49+217.37+14.87+993.57</f>
        <v>24997.339999999997</v>
      </c>
      <c r="H202" s="18">
        <f>21843.16+650+147.97+911.13</f>
        <v>23552.260000000002</v>
      </c>
      <c r="I202" s="18">
        <f>268.51+265.35+500.11+491.32+35.75+451.4</f>
        <v>2012.44</v>
      </c>
      <c r="J202" s="18">
        <f>1472+380.73</f>
        <v>1852.73</v>
      </c>
      <c r="K202" s="18"/>
      <c r="L202" s="19">
        <f t="shared" ref="L202:L208" si="0">SUM(F202:K202)</f>
        <v>202452.12000000002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19073.58+11354.4+8365.56-297+12185.92+6149.25-216</f>
        <v>56615.71</v>
      </c>
      <c r="G203" s="18">
        <f>6923.91+105.02+2329.37+3695.93+410.58+19.56+640.01+794.23+74.03-6.16+4423.65+67.01+933.33+2423.68+69.44+7.17+472.32+586.9+44.24-4.96</f>
        <v>24009.26</v>
      </c>
      <c r="H203" s="18">
        <f>918+454.78+878.65+754</f>
        <v>3005.43</v>
      </c>
      <c r="I203" s="18">
        <f>487.85+326.67+1172.08+398.83+47.22+169.25+1276.29+1660.69</f>
        <v>5538.8799999999992</v>
      </c>
      <c r="J203" s="18">
        <f>105</f>
        <v>105</v>
      </c>
      <c r="K203" s="18"/>
      <c r="L203" s="19">
        <f t="shared" si="0"/>
        <v>89274.28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2645</f>
        <v>2645</v>
      </c>
      <c r="G204" s="18">
        <f>205</f>
        <v>205</v>
      </c>
      <c r="H204" s="18">
        <f>16376+196287</f>
        <v>212663</v>
      </c>
      <c r="I204" s="18"/>
      <c r="J204" s="18"/>
      <c r="K204" s="18">
        <f>2641</f>
        <v>2641</v>
      </c>
      <c r="L204" s="19">
        <f t="shared" si="0"/>
        <v>218154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69359.94+34408.47+1767+14483.69+7033.9+34119.26+22200+13917.86+3694.5+10533.63+5125.83</f>
        <v>216644.08</v>
      </c>
      <c r="G205" s="18">
        <f>19232.72+610.57+8052.21+3843.36+10426.24+1155+625.36+60.27+8491.19+137.67+1630.2+785.66+2269.62+847.04+139.07-19.83+11351.27+398.12+5606.58+1554.6+8936.38+2473.54+328.21+38.02+6171.64+103.93+1186.35+572.54+1650.64+841.12+81.91-15.76</f>
        <v>99565.440000000002</v>
      </c>
      <c r="H205" s="18">
        <f>549+175.19+273.98+246.71+416.8+850+200+890.47+39.09+131.21+344.1+650</f>
        <v>4766.5500000000011</v>
      </c>
      <c r="I205" s="18">
        <f>1335.6+499.77+8510.27+382.59+62.45+252.41+4336.07+201.91</f>
        <v>15581.07</v>
      </c>
      <c r="J205" s="18">
        <f>3091.4</f>
        <v>3091.4</v>
      </c>
      <c r="K205" s="18">
        <f>2992.53+600+2139.32+750</f>
        <v>6481.85</v>
      </c>
      <c r="L205" s="19">
        <f t="shared" si="0"/>
        <v>346130.39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39083.96+6743.56+757.63+702.14+29496.59+4658.79+1288.25+1823.34</f>
        <v>84554.25999999998</v>
      </c>
      <c r="G207" s="18">
        <f>16283.74+217.95+3613.23+4453.03+562.83+125.72+12428.51+157.16+2830.54+3495.22+344+89.33</f>
        <v>44601.260000000009</v>
      </c>
      <c r="H207" s="18">
        <f>4725+4472.82+29561.24+5949.24+1010.53+53.82+2187.35+1694.75+20755.75+4326.72+963.26+39.14+700</f>
        <v>76439.62</v>
      </c>
      <c r="I207" s="18">
        <f>9634.88+15009.76+2201.52+21709.97+5640.17+13166.05+425.85+13096.82</f>
        <v>80885.020000000019</v>
      </c>
      <c r="J207" s="18"/>
      <c r="K207" s="18"/>
      <c r="L207" s="19">
        <f t="shared" si="0"/>
        <v>286480.16000000003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32202.27+3620+2166.32+23419.85+3549.66+2110.76+11012.71</f>
        <v>78081.570000000007</v>
      </c>
      <c r="I208" s="18"/>
      <c r="J208" s="18"/>
      <c r="K208" s="18"/>
      <c r="L208" s="19">
        <f t="shared" si="0"/>
        <v>78081.570000000007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1704433.1700000004</v>
      </c>
      <c r="G211" s="41">
        <f t="shared" si="1"/>
        <v>673592.44</v>
      </c>
      <c r="H211" s="41">
        <f t="shared" si="1"/>
        <v>588258.04</v>
      </c>
      <c r="I211" s="41">
        <f t="shared" si="1"/>
        <v>147158.15000000002</v>
      </c>
      <c r="J211" s="41">
        <f t="shared" si="1"/>
        <v>25075.45</v>
      </c>
      <c r="K211" s="41">
        <f t="shared" si="1"/>
        <v>10257.1</v>
      </c>
      <c r="L211" s="41">
        <f t="shared" si="1"/>
        <v>3148774.35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543241.3+928.05+14290.75+8683.15</f>
        <v>567143.25000000012</v>
      </c>
      <c r="G233" s="18">
        <f>129066.48+3490.62+496.64+42686.28+82613.84+4096.82+2260+3972.04+349.23+130.42</f>
        <v>269162.36999999994</v>
      </c>
      <c r="H233" s="18">
        <f>28795+1103.82+1412.12+5020.43+215.66+106.92-28795</f>
        <v>7858.9499999999971</v>
      </c>
      <c r="I233" s="18">
        <f>15690.02+1852.42+3495.78+1195.8+963.8</f>
        <v>23197.82</v>
      </c>
      <c r="J233" s="18">
        <f>571.42+958.5+5501.75+1499.44+817.04</f>
        <v>9348.1500000000015</v>
      </c>
      <c r="K233" s="18">
        <f>4046.67</f>
        <v>4046.67</v>
      </c>
      <c r="L233" s="19">
        <f>SUM(F233:K233)</f>
        <v>880757.21000000008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89218.36+4712.5+33154.57+3814.47+895.06</f>
        <v>131794.96</v>
      </c>
      <c r="G234" s="18">
        <f>11611.11+467.71+9998.56+14773.92+2558.82+93.15</f>
        <v>39503.269999999997</v>
      </c>
      <c r="H234" s="18">
        <f>17146.16+2487.16+104417.67</f>
        <v>124050.98999999999</v>
      </c>
      <c r="I234" s="18">
        <f>127.54+870.23</f>
        <v>997.77</v>
      </c>
      <c r="J234" s="18"/>
      <c r="K234" s="18"/>
      <c r="L234" s="19">
        <f>SUM(F234:K234)</f>
        <v>296346.99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39543.13</f>
        <v>39543.129999999997</v>
      </c>
      <c r="I235" s="18"/>
      <c r="J235" s="18"/>
      <c r="K235" s="18"/>
      <c r="L235" s="19">
        <f>SUM(F235:K235)</f>
        <v>39543.129999999997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29055.7+28.56</f>
        <v>29084.260000000002</v>
      </c>
      <c r="G236" s="18">
        <f>2135.15+1762.19+468.79+30.57+2.29+4.49</f>
        <v>4403.4799999999996</v>
      </c>
      <c r="H236" s="18">
        <f>11848+618.67</f>
        <v>12466.67</v>
      </c>
      <c r="I236" s="18">
        <f>4500+300</f>
        <v>4800</v>
      </c>
      <c r="J236" s="18">
        <f>756.59</f>
        <v>756.59</v>
      </c>
      <c r="K236" s="18">
        <f>2865</f>
        <v>2865</v>
      </c>
      <c r="L236" s="19">
        <f>SUM(F236:K236)</f>
        <v>54376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28953.81+14292.76+6467.3+22653.92</f>
        <v>72367.790000000008</v>
      </c>
      <c r="G238" s="18">
        <f>256+3803.23+1570.7+4536.99+386.43+26.44+1733.02</f>
        <v>12312.810000000001</v>
      </c>
      <c r="H238" s="18">
        <f>650+149.5+886.18+4914.84</f>
        <v>6600.52</v>
      </c>
      <c r="I238" s="18">
        <f>60.88+776.96</f>
        <v>837.84</v>
      </c>
      <c r="J238" s="18">
        <f>648.27</f>
        <v>648.27</v>
      </c>
      <c r="K238" s="18">
        <f>1118.88</f>
        <v>1118.8800000000001</v>
      </c>
      <c r="L238" s="19">
        <f t="shared" ref="L238:L244" si="4">SUM(F238:K238)</f>
        <v>93886.110000000015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21722.5+10593.77+3940</f>
        <v>36256.270000000004</v>
      </c>
      <c r="G239" s="18">
        <f>7885.29+119.67+1663.53+4325.23+123.78+12.77+1141.48+1426.33+78.63-8.91</f>
        <v>16767.800000000003</v>
      </c>
      <c r="H239" s="18">
        <f>332.76+1301.68</f>
        <v>1634.44</v>
      </c>
      <c r="I239" s="18">
        <f>328.5+2962.69+2443+124.68</f>
        <v>5858.8700000000008</v>
      </c>
      <c r="J239" s="18"/>
      <c r="K239" s="18"/>
      <c r="L239" s="19">
        <f t="shared" si="4"/>
        <v>60517.380000000012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1995</f>
        <v>1995</v>
      </c>
      <c r="G240" s="18">
        <f>154.02</f>
        <v>154.02000000000001</v>
      </c>
      <c r="H240" s="18">
        <f>12354.33+148075.48</f>
        <v>160429.81</v>
      </c>
      <c r="I240" s="18"/>
      <c r="J240" s="18"/>
      <c r="K240" s="18">
        <f>1991.75</f>
        <v>1991.75</v>
      </c>
      <c r="L240" s="19">
        <f t="shared" si="4"/>
        <v>164570.57999999999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57808.16+37800+23187.17+5725.52+527+18872.68+9114.83</f>
        <v>153035.35999999999</v>
      </c>
      <c r="G241" s="18">
        <f>19105.65+671.35+9483.52+2589.94+15122.84+4210.46+588.27+67.73+11057.83+186.12+2120.02+1018.2+2957.39+1104.84+145.52-28.35</f>
        <v>70401.33</v>
      </c>
      <c r="H241" s="18">
        <f>104.95+1651.58+252.52+344.1+700</f>
        <v>3053.15</v>
      </c>
      <c r="I241" s="18">
        <f>457.06+6154.75+151.68</f>
        <v>6763.4900000000007</v>
      </c>
      <c r="J241" s="18">
        <f>4637.1</f>
        <v>4637.1000000000004</v>
      </c>
      <c r="K241" s="18">
        <f>3417.02+750</f>
        <v>4167.0200000000004</v>
      </c>
      <c r="L241" s="19">
        <f t="shared" si="4"/>
        <v>242057.44999999998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45331.75+4379.14+1962.38+2325.94</f>
        <v>53999.21</v>
      </c>
      <c r="G243" s="18">
        <f>19013.35+241.98+4095.8+5317.76+535.83+137.18</f>
        <v>29341.9</v>
      </c>
      <c r="H243" s="18">
        <f>1333.39+2904.93+34845.4+7752.04+1640.13+70.12+527.6</f>
        <v>49073.61</v>
      </c>
      <c r="I243" s="18">
        <f>9903.44+22417.85+726.27+22321.15</f>
        <v>55368.71</v>
      </c>
      <c r="J243" s="18"/>
      <c r="K243" s="18"/>
      <c r="L243" s="19">
        <f t="shared" si="4"/>
        <v>187783.43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90751.88+12129.68+2042.77+10725.19</f>
        <v>115649.52</v>
      </c>
      <c r="I244" s="18"/>
      <c r="J244" s="18"/>
      <c r="K244" s="18"/>
      <c r="L244" s="19">
        <f t="shared" si="4"/>
        <v>115649.52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1045676.1000000001</v>
      </c>
      <c r="G247" s="41">
        <f t="shared" si="5"/>
        <v>442046.98</v>
      </c>
      <c r="H247" s="41">
        <f t="shared" si="5"/>
        <v>520360.79000000004</v>
      </c>
      <c r="I247" s="41">
        <f t="shared" si="5"/>
        <v>97824.5</v>
      </c>
      <c r="J247" s="41">
        <f t="shared" si="5"/>
        <v>15390.110000000002</v>
      </c>
      <c r="K247" s="41">
        <f t="shared" si="5"/>
        <v>14189.32</v>
      </c>
      <c r="L247" s="41">
        <f t="shared" si="5"/>
        <v>2135487.8000000003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3388.11</f>
        <v>3388.11</v>
      </c>
      <c r="I255" s="18"/>
      <c r="J255" s="18"/>
      <c r="K255" s="18"/>
      <c r="L255" s="19">
        <f t="shared" si="6"/>
        <v>3388.11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3388.11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3388.11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2750109.2700000005</v>
      </c>
      <c r="G257" s="41">
        <f t="shared" si="8"/>
        <v>1115639.42</v>
      </c>
      <c r="H257" s="41">
        <f t="shared" si="8"/>
        <v>1112006.9400000002</v>
      </c>
      <c r="I257" s="41">
        <f t="shared" si="8"/>
        <v>244982.65000000002</v>
      </c>
      <c r="J257" s="41">
        <f t="shared" si="8"/>
        <v>40465.560000000005</v>
      </c>
      <c r="K257" s="41">
        <f t="shared" si="8"/>
        <v>24446.42</v>
      </c>
      <c r="L257" s="41">
        <f t="shared" si="8"/>
        <v>5287650.2600000007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20000</v>
      </c>
      <c r="L260" s="19">
        <f>SUM(F260:K260)</f>
        <v>20000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4581.5</v>
      </c>
      <c r="L261" s="19">
        <f>SUM(F261:K261)</f>
        <v>4581.5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19987.36</v>
      </c>
      <c r="L263" s="19">
        <f>SUM(F263:K263)</f>
        <v>19987.36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28795</v>
      </c>
      <c r="L268" s="19">
        <f t="shared" si="9"/>
        <v>28795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148363.85999999999</v>
      </c>
      <c r="L270" s="41">
        <f t="shared" si="9"/>
        <v>148363.85999999999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2750109.2700000005</v>
      </c>
      <c r="G271" s="42">
        <f t="shared" si="11"/>
        <v>1115639.42</v>
      </c>
      <c r="H271" s="42">
        <f t="shared" si="11"/>
        <v>1112006.9400000002</v>
      </c>
      <c r="I271" s="42">
        <f t="shared" si="11"/>
        <v>244982.65000000002</v>
      </c>
      <c r="J271" s="42">
        <f t="shared" si="11"/>
        <v>40465.560000000005</v>
      </c>
      <c r="K271" s="42">
        <f t="shared" si="11"/>
        <v>172810.27999999997</v>
      </c>
      <c r="L271" s="42">
        <f t="shared" si="11"/>
        <v>5436014.120000001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124480</f>
        <v>124480</v>
      </c>
      <c r="G276" s="18">
        <f>26356.26+604.8+9154.26+19324.84</f>
        <v>55440.160000000003</v>
      </c>
      <c r="H276" s="18">
        <f>3475+96312.5+614.64</f>
        <v>100402.14</v>
      </c>
      <c r="I276" s="18">
        <f>2120.99+13432.22+2349</f>
        <v>17902.21</v>
      </c>
      <c r="J276" s="18">
        <f>8604.99+809.95</f>
        <v>9414.94</v>
      </c>
      <c r="K276" s="18"/>
      <c r="L276" s="19">
        <f>SUM(F276:K276)</f>
        <v>307639.45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f>19684+19185+9842+9592.49</f>
        <v>58303.49</v>
      </c>
      <c r="I277" s="18"/>
      <c r="J277" s="18"/>
      <c r="K277" s="18"/>
      <c r="L277" s="19">
        <f>SUM(F277:K277)</f>
        <v>58303.49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8763.3</f>
        <v>8763.2999999999993</v>
      </c>
      <c r="I281" s="18"/>
      <c r="J281" s="18"/>
      <c r="K281" s="18"/>
      <c r="L281" s="19">
        <f t="shared" ref="L281:L287" si="12">SUM(F281:K281)</f>
        <v>8763.2999999999993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124480</v>
      </c>
      <c r="G290" s="42">
        <f t="shared" si="13"/>
        <v>55440.160000000003</v>
      </c>
      <c r="H290" s="42">
        <f t="shared" si="13"/>
        <v>167468.93</v>
      </c>
      <c r="I290" s="42">
        <f t="shared" si="13"/>
        <v>17902.21</v>
      </c>
      <c r="J290" s="42">
        <f t="shared" si="13"/>
        <v>9414.94</v>
      </c>
      <c r="K290" s="42">
        <f t="shared" si="13"/>
        <v>0</v>
      </c>
      <c r="L290" s="41">
        <f t="shared" si="13"/>
        <v>374706.24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32526.5</f>
        <v>32526.5</v>
      </c>
      <c r="G314" s="18">
        <f>2756.86+1624.31+1488</f>
        <v>5869.17</v>
      </c>
      <c r="H314" s="18">
        <f>900+402.39</f>
        <v>1302.3899999999999</v>
      </c>
      <c r="I314" s="18">
        <f>2775.72+973</f>
        <v>3748.72</v>
      </c>
      <c r="J314" s="18">
        <f>10977.03</f>
        <v>10977.03</v>
      </c>
      <c r="K314" s="18"/>
      <c r="L314" s="19">
        <f>SUM(F314:K314)</f>
        <v>54423.81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f>9842+3197.51</f>
        <v>13039.51</v>
      </c>
      <c r="I315" s="18"/>
      <c r="J315" s="18"/>
      <c r="K315" s="18"/>
      <c r="L315" s="19">
        <f>SUM(F315:K315)</f>
        <v>13039.51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20447.7</f>
        <v>20447.7</v>
      </c>
      <c r="I319" s="18"/>
      <c r="J319" s="18"/>
      <c r="K319" s="18"/>
      <c r="L319" s="19">
        <f t="shared" ref="L319:L325" si="16">SUM(F319:K319)</f>
        <v>20447.7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32526.5</v>
      </c>
      <c r="G328" s="42">
        <f t="shared" si="17"/>
        <v>5869.17</v>
      </c>
      <c r="H328" s="42">
        <f t="shared" si="17"/>
        <v>34789.599999999999</v>
      </c>
      <c r="I328" s="42">
        <f t="shared" si="17"/>
        <v>3748.72</v>
      </c>
      <c r="J328" s="42">
        <f t="shared" si="17"/>
        <v>10977.03</v>
      </c>
      <c r="K328" s="42">
        <f t="shared" si="17"/>
        <v>0</v>
      </c>
      <c r="L328" s="41">
        <f t="shared" si="17"/>
        <v>87911.01999999999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7507.06</f>
        <v>7507.06</v>
      </c>
      <c r="G333" s="18">
        <f>574.29+1176.36</f>
        <v>1750.6499999999999</v>
      </c>
      <c r="H333" s="18"/>
      <c r="I333" s="18">
        <f>545.5</f>
        <v>545.5</v>
      </c>
      <c r="J333" s="18"/>
      <c r="K333" s="18"/>
      <c r="L333" s="19">
        <f t="shared" si="18"/>
        <v>9803.2100000000009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7507.06</v>
      </c>
      <c r="G337" s="41">
        <f t="shared" si="19"/>
        <v>1750.6499999999999</v>
      </c>
      <c r="H337" s="41">
        <f t="shared" si="19"/>
        <v>0</v>
      </c>
      <c r="I337" s="41">
        <f t="shared" si="19"/>
        <v>545.5</v>
      </c>
      <c r="J337" s="41">
        <f t="shared" si="19"/>
        <v>0</v>
      </c>
      <c r="K337" s="41">
        <f t="shared" si="19"/>
        <v>0</v>
      </c>
      <c r="L337" s="41">
        <f t="shared" si="18"/>
        <v>9803.2100000000009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164513.56</v>
      </c>
      <c r="G338" s="41">
        <f t="shared" si="20"/>
        <v>63059.98</v>
      </c>
      <c r="H338" s="41">
        <f t="shared" si="20"/>
        <v>202258.53</v>
      </c>
      <c r="I338" s="41">
        <f t="shared" si="20"/>
        <v>22196.43</v>
      </c>
      <c r="J338" s="41">
        <f t="shared" si="20"/>
        <v>20391.97</v>
      </c>
      <c r="K338" s="41">
        <f t="shared" si="20"/>
        <v>0</v>
      </c>
      <c r="L338" s="41">
        <f t="shared" si="20"/>
        <v>472420.47000000003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164513.56</v>
      </c>
      <c r="G352" s="41">
        <f>G338</f>
        <v>63059.98</v>
      </c>
      <c r="H352" s="41">
        <f>H338</f>
        <v>202258.53</v>
      </c>
      <c r="I352" s="41">
        <f>I338</f>
        <v>22196.43</v>
      </c>
      <c r="J352" s="41">
        <f>J338</f>
        <v>20391.97</v>
      </c>
      <c r="K352" s="47">
        <f>K338+K351</f>
        <v>0</v>
      </c>
      <c r="L352" s="41">
        <f>L338+L351</f>
        <v>472420.47000000003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93454+3410+5048</f>
        <v>101912</v>
      </c>
      <c r="I358" s="18"/>
      <c r="J358" s="18">
        <f>1026</f>
        <v>1026</v>
      </c>
      <c r="K358" s="18"/>
      <c r="L358" s="13">
        <f>SUM(F358:K358)</f>
        <v>102938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70500.72+2572.18+3808.94</f>
        <v>76881.84</v>
      </c>
      <c r="I360" s="18"/>
      <c r="J360" s="18">
        <f>774</f>
        <v>774</v>
      </c>
      <c r="K360" s="18"/>
      <c r="L360" s="19">
        <f>SUM(F360:K360)</f>
        <v>77655.839999999997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178793.84</v>
      </c>
      <c r="I362" s="47">
        <f t="shared" si="22"/>
        <v>0</v>
      </c>
      <c r="J362" s="47">
        <f t="shared" si="22"/>
        <v>1800</v>
      </c>
      <c r="K362" s="47">
        <f t="shared" si="22"/>
        <v>0</v>
      </c>
      <c r="L362" s="47">
        <f t="shared" si="22"/>
        <v>180593.84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v>478.72</v>
      </c>
      <c r="I396" s="18"/>
      <c r="J396" s="24" t="s">
        <v>289</v>
      </c>
      <c r="K396" s="24" t="s">
        <v>289</v>
      </c>
      <c r="L396" s="56">
        <f t="shared" si="26"/>
        <v>50478.720000000001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494.3</v>
      </c>
      <c r="I397" s="18"/>
      <c r="J397" s="24" t="s">
        <v>289</v>
      </c>
      <c r="K397" s="24" t="s">
        <v>289</v>
      </c>
      <c r="L397" s="56">
        <f t="shared" si="26"/>
        <v>25494.3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973.02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75973.02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973.02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75973.02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329364.31</v>
      </c>
      <c r="H439" s="18"/>
      <c r="I439" s="56">
        <f t="shared" ref="I439:I445" si="33">SUM(F439:H439)</f>
        <v>329364.31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329364.31</v>
      </c>
      <c r="H446" s="13">
        <f>SUM(H439:H445)</f>
        <v>0</v>
      </c>
      <c r="I446" s="13">
        <f>SUM(I439:I445)</f>
        <v>329364.31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329364.31</v>
      </c>
      <c r="H456" s="18"/>
      <c r="I456" s="56">
        <f t="shared" si="34"/>
        <v>329364.31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329364.31</v>
      </c>
      <c r="H460" s="83">
        <f>SUM(H454:H459)</f>
        <v>0</v>
      </c>
      <c r="I460" s="83">
        <f>SUM(I454:I459)</f>
        <v>329364.31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329364.31</v>
      </c>
      <c r="H461" s="42">
        <f>H452+H460</f>
        <v>0</v>
      </c>
      <c r="I461" s="42">
        <f>I452+I460</f>
        <v>329364.31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268353.14</v>
      </c>
      <c r="G465" s="18"/>
      <c r="H465" s="18"/>
      <c r="I465" s="18"/>
      <c r="J465" s="18">
        <v>253391.29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5341779.8899999997</v>
      </c>
      <c r="G468" s="18">
        <v>180593.84</v>
      </c>
      <c r="H468" s="18">
        <v>472420.47</v>
      </c>
      <c r="I468" s="18"/>
      <c r="J468" s="18">
        <v>75973.02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5341779.8899999997</v>
      </c>
      <c r="G470" s="53">
        <f>SUM(G468:G469)</f>
        <v>180593.84</v>
      </c>
      <c r="H470" s="53">
        <f>SUM(H468:H469)</f>
        <v>472420.47</v>
      </c>
      <c r="I470" s="53">
        <f>SUM(I468:I469)</f>
        <v>0</v>
      </c>
      <c r="J470" s="53">
        <f>SUM(J468:J469)</f>
        <v>75973.02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5436014.1200000001</v>
      </c>
      <c r="G472" s="18">
        <v>180593.84</v>
      </c>
      <c r="H472" s="18">
        <v>472420.47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5436014.1200000001</v>
      </c>
      <c r="G474" s="53">
        <f>SUM(G472:G473)</f>
        <v>180593.84</v>
      </c>
      <c r="H474" s="53">
        <f>SUM(H472:H473)</f>
        <v>472420.47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174118.90999999922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329364.31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225501.31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5.39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95000</v>
      </c>
      <c r="G495" s="18"/>
      <c r="H495" s="18"/>
      <c r="I495" s="18"/>
      <c r="J495" s="18"/>
      <c r="K495" s="53">
        <f>SUM(F495:J495)</f>
        <v>95000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24581.5</v>
      </c>
      <c r="G497" s="18"/>
      <c r="H497" s="18"/>
      <c r="I497" s="18"/>
      <c r="J497" s="18"/>
      <c r="K497" s="53">
        <f t="shared" si="35"/>
        <v>24581.5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75000</v>
      </c>
      <c r="G498" s="204"/>
      <c r="H498" s="204"/>
      <c r="I498" s="204"/>
      <c r="J498" s="204"/>
      <c r="K498" s="205">
        <f t="shared" si="35"/>
        <v>75000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10106.25</v>
      </c>
      <c r="G499" s="18"/>
      <c r="H499" s="18"/>
      <c r="I499" s="18"/>
      <c r="J499" s="18"/>
      <c r="K499" s="53">
        <f t="shared" si="35"/>
        <v>10106.25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85106.25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85106.25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15000</v>
      </c>
      <c r="G501" s="204"/>
      <c r="H501" s="204"/>
      <c r="I501" s="204"/>
      <c r="J501" s="204"/>
      <c r="K501" s="205">
        <f t="shared" si="35"/>
        <v>15000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3638.25</v>
      </c>
      <c r="G502" s="18"/>
      <c r="H502" s="18"/>
      <c r="I502" s="18"/>
      <c r="J502" s="18"/>
      <c r="K502" s="53">
        <f t="shared" si="35"/>
        <v>3638.25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18638.25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18638.25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67112.92+47524.75+130721.31+3691.39+3872+968+270+2257.5+3750+8240.25+7679.23+945.48+18022.51</f>
        <v>295055.33999999997</v>
      </c>
      <c r="G521" s="18">
        <f>19232.85+2635.71+392.73+249.23+16252.53+4867.5+10459.9+7606.62+495+195+2436.76+38.41+92.54-34.59+1378.8+301.9+10.53</f>
        <v>66611.42</v>
      </c>
      <c r="H521" s="18">
        <f>3617.48+34201.9+50128.24</f>
        <v>87947.62</v>
      </c>
      <c r="I521" s="18">
        <f>206.47+195.29+710.43+471.19</f>
        <v>1583.38</v>
      </c>
      <c r="J521" s="18"/>
      <c r="K521" s="18"/>
      <c r="L521" s="88">
        <f>SUM(F521:K521)</f>
        <v>451197.75999999995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89218.36+4712.5+33154.57+3814.47+895.06</f>
        <v>131794.96</v>
      </c>
      <c r="G523" s="18">
        <f>11611.11+467.71+9998.56+14773.92+2558.82+93.15</f>
        <v>39503.269999999997</v>
      </c>
      <c r="H523" s="18">
        <f>104417.67</f>
        <v>104417.67</v>
      </c>
      <c r="I523" s="18">
        <f>870.23+127.54</f>
        <v>997.77</v>
      </c>
      <c r="J523" s="18"/>
      <c r="K523" s="18"/>
      <c r="L523" s="88">
        <f>SUM(F523:K523)</f>
        <v>276713.67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426850.29999999993</v>
      </c>
      <c r="G524" s="108">
        <f t="shared" ref="G524:L524" si="36">SUM(G521:G523)</f>
        <v>106114.69</v>
      </c>
      <c r="H524" s="108">
        <f t="shared" si="36"/>
        <v>192365.28999999998</v>
      </c>
      <c r="I524" s="108">
        <f t="shared" si="36"/>
        <v>2581.15</v>
      </c>
      <c r="J524" s="108">
        <f t="shared" si="36"/>
        <v>0</v>
      </c>
      <c r="K524" s="108">
        <f t="shared" si="36"/>
        <v>0</v>
      </c>
      <c r="L524" s="89">
        <f t="shared" si="36"/>
        <v>727911.42999999993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29037.42+29037.42+20173.68+2487.16</f>
        <v>80735.679999999993</v>
      </c>
      <c r="I526" s="18"/>
      <c r="J526" s="18"/>
      <c r="K526" s="18"/>
      <c r="L526" s="88">
        <f>SUM(F526:K526)</f>
        <v>80735.679999999993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17146.16+2487.16</f>
        <v>19633.32</v>
      </c>
      <c r="I528" s="18"/>
      <c r="J528" s="18"/>
      <c r="K528" s="18"/>
      <c r="L528" s="88">
        <f>SUM(F528:K528)</f>
        <v>19633.32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100369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100369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14483.69+10533.63+7033.9+5125.83</f>
        <v>37177.050000000003</v>
      </c>
      <c r="G531" s="18">
        <f>8491.19+6171.64+137.67+103.93+1630.2+1186.35+785.66+572.54+2269.62+1650.64+847.04+841.12+139.07+81.91-19.83-15.76</f>
        <v>24872.989999999998</v>
      </c>
      <c r="H531" s="18">
        <f>246.71+131.21+416.8+344.1+850+650</f>
        <v>2638.82</v>
      </c>
      <c r="I531" s="18">
        <f>382.59+201.91+62.45</f>
        <v>646.95000000000005</v>
      </c>
      <c r="J531" s="18"/>
      <c r="K531" s="18">
        <f>600+750</f>
        <v>1350</v>
      </c>
      <c r="L531" s="88">
        <f>SUM(F531:K531)</f>
        <v>66685.81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18872.68+9114.83</f>
        <v>27987.510000000002</v>
      </c>
      <c r="G533" s="18">
        <f>11057.83+186.12+2120.02+1018.2+2957.39+1104.84+145.52-28.35</f>
        <v>18561.570000000003</v>
      </c>
      <c r="H533" s="18">
        <f>252.52+344.1+700</f>
        <v>1296.6199999999999</v>
      </c>
      <c r="I533" s="18">
        <f>151.68</f>
        <v>151.68</v>
      </c>
      <c r="J533" s="18"/>
      <c r="K533" s="18">
        <v>750</v>
      </c>
      <c r="L533" s="88">
        <f>SUM(F533:K533)</f>
        <v>48747.380000000005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65164.560000000005</v>
      </c>
      <c r="G534" s="89">
        <f t="shared" ref="G534:L534" si="38">SUM(G531:G533)</f>
        <v>43434.559999999998</v>
      </c>
      <c r="H534" s="89">
        <f t="shared" si="38"/>
        <v>3935.44</v>
      </c>
      <c r="I534" s="89">
        <f t="shared" si="38"/>
        <v>798.63000000000011</v>
      </c>
      <c r="J534" s="89">
        <f t="shared" si="38"/>
        <v>0</v>
      </c>
      <c r="K534" s="89">
        <f t="shared" si="38"/>
        <v>2100</v>
      </c>
      <c r="L534" s="89">
        <f t="shared" si="38"/>
        <v>115433.19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1449.5+2499.95</f>
        <v>3949.45</v>
      </c>
      <c r="I536" s="18"/>
      <c r="J536" s="18"/>
      <c r="K536" s="18"/>
      <c r="L536" s="88">
        <f>SUM(F536:K536)</f>
        <v>3949.45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3949.45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3949.45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2166.32+11012.71</f>
        <v>13179.029999999999</v>
      </c>
      <c r="I541" s="18"/>
      <c r="J541" s="18"/>
      <c r="K541" s="18"/>
      <c r="L541" s="88">
        <f>SUM(F541:K541)</f>
        <v>13179.029999999999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10725.19</f>
        <v>10725.19</v>
      </c>
      <c r="I543" s="18"/>
      <c r="J543" s="18"/>
      <c r="K543" s="18"/>
      <c r="L543" s="88">
        <f>SUM(F543:K543)</f>
        <v>10725.19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23904.22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23904.22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492014.85999999993</v>
      </c>
      <c r="G545" s="89">
        <f t="shared" ref="G545:L545" si="41">G524+G529+G534+G539+G544</f>
        <v>149549.25</v>
      </c>
      <c r="H545" s="89">
        <f t="shared" si="41"/>
        <v>324523.40000000002</v>
      </c>
      <c r="I545" s="89">
        <f t="shared" si="41"/>
        <v>3379.78</v>
      </c>
      <c r="J545" s="89">
        <f t="shared" si="41"/>
        <v>0</v>
      </c>
      <c r="K545" s="89">
        <f t="shared" si="41"/>
        <v>2100</v>
      </c>
      <c r="L545" s="89">
        <f t="shared" si="41"/>
        <v>971567.2899999998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451197.75999999995</v>
      </c>
      <c r="G549" s="87">
        <f>L526</f>
        <v>80735.679999999993</v>
      </c>
      <c r="H549" s="87">
        <f>L531</f>
        <v>66685.81</v>
      </c>
      <c r="I549" s="87">
        <f>L536</f>
        <v>3949.45</v>
      </c>
      <c r="J549" s="87">
        <f>L541</f>
        <v>13179.029999999999</v>
      </c>
      <c r="K549" s="87">
        <f>SUM(F549:J549)</f>
        <v>615747.73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276713.67</v>
      </c>
      <c r="G551" s="87">
        <f>L528</f>
        <v>19633.32</v>
      </c>
      <c r="H551" s="87">
        <f>L533</f>
        <v>48747.380000000005</v>
      </c>
      <c r="I551" s="87">
        <f>L538</f>
        <v>0</v>
      </c>
      <c r="J551" s="87">
        <f>L543</f>
        <v>10725.19</v>
      </c>
      <c r="K551" s="87">
        <f>SUM(F551:J551)</f>
        <v>355819.56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727911.42999999993</v>
      </c>
      <c r="G552" s="89">
        <f t="shared" si="42"/>
        <v>100369</v>
      </c>
      <c r="H552" s="89">
        <f t="shared" si="42"/>
        <v>115433.19</v>
      </c>
      <c r="I552" s="89">
        <f t="shared" si="42"/>
        <v>3949.45</v>
      </c>
      <c r="J552" s="89">
        <f t="shared" si="42"/>
        <v>23904.22</v>
      </c>
      <c r="K552" s="89">
        <f t="shared" si="42"/>
        <v>971567.29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34201.9+3617.48</f>
        <v>37819.380000000005</v>
      </c>
      <c r="G579" s="18"/>
      <c r="H579" s="18"/>
      <c r="I579" s="87">
        <f t="shared" si="47"/>
        <v>37819.380000000005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50128.24</v>
      </c>
      <c r="G582" s="18"/>
      <c r="H582" s="18">
        <v>104417.67</v>
      </c>
      <c r="I582" s="87">
        <f t="shared" si="47"/>
        <v>154545.91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28795</v>
      </c>
      <c r="I584" s="87">
        <f t="shared" si="47"/>
        <v>28795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32202.27+23419.85</f>
        <v>55622.119999999995</v>
      </c>
      <c r="I591" s="18"/>
      <c r="J591" s="18">
        <f>90751.88-48758</f>
        <v>41993.880000000005</v>
      </c>
      <c r="K591" s="104">
        <f t="shared" ref="K591:K597" si="48">SUM(H591:J591)</f>
        <v>97616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2166.32+11012.71</f>
        <v>13179.029999999999</v>
      </c>
      <c r="I592" s="18"/>
      <c r="J592" s="18">
        <f>10725.19</f>
        <v>10725.19</v>
      </c>
      <c r="K592" s="104">
        <f t="shared" si="48"/>
        <v>23904.22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48758</f>
        <v>48758</v>
      </c>
      <c r="K593" s="104">
        <f t="shared" si="48"/>
        <v>48758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f>3620+3549.66</f>
        <v>7169.66</v>
      </c>
      <c r="I594" s="18"/>
      <c r="J594" s="18">
        <v>12129.68</v>
      </c>
      <c r="K594" s="104">
        <f t="shared" si="48"/>
        <v>19299.34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2110.76</f>
        <v>2110.7600000000002</v>
      </c>
      <c r="I595" s="18"/>
      <c r="J595" s="18">
        <f>2042.77</f>
        <v>2042.77</v>
      </c>
      <c r="K595" s="104">
        <f t="shared" si="48"/>
        <v>4153.5300000000007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78081.569999999992</v>
      </c>
      <c r="I598" s="108">
        <f>SUM(I591:I597)</f>
        <v>0</v>
      </c>
      <c r="J598" s="108">
        <f>SUM(J591:J597)</f>
        <v>115649.52</v>
      </c>
      <c r="K598" s="108">
        <f>SUM(K591:K597)</f>
        <v>193731.09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29060.5+5429.89</f>
        <v>34490.39</v>
      </c>
      <c r="I604" s="18"/>
      <c r="J604" s="18">
        <f>26367.14</f>
        <v>26367.14</v>
      </c>
      <c r="K604" s="104">
        <f>SUM(H604:J604)</f>
        <v>60857.53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34490.39</v>
      </c>
      <c r="I605" s="108">
        <f>SUM(I602:I604)</f>
        <v>0</v>
      </c>
      <c r="J605" s="108">
        <f>SUM(J602:J604)</f>
        <v>26367.14</v>
      </c>
      <c r="K605" s="108">
        <f>SUM(K602:K604)</f>
        <v>60857.53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186118.91</v>
      </c>
      <c r="H617" s="109">
        <f>SUM(F52)</f>
        <v>186118.91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4355.49</v>
      </c>
      <c r="H618" s="109">
        <f>SUM(G52)</f>
        <v>4355.49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58969.84</v>
      </c>
      <c r="H619" s="109">
        <f>SUM(H52)</f>
        <v>58969.84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329364.31</v>
      </c>
      <c r="H621" s="109">
        <f>SUM(J52)</f>
        <v>329364.31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174118.91</v>
      </c>
      <c r="H622" s="109">
        <f>F476</f>
        <v>174118.90999999922</v>
      </c>
      <c r="I622" s="121" t="s">
        <v>101</v>
      </c>
      <c r="J622" s="109">
        <f t="shared" ref="J622:J655" si="50">G622-H622</f>
        <v>7.8580342233181E-10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329364.31</v>
      </c>
      <c r="H626" s="109">
        <f>J476</f>
        <v>329364.31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5341779.8900000006</v>
      </c>
      <c r="H627" s="104">
        <f>SUM(F468)</f>
        <v>5341779.8899999997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180593.83999999997</v>
      </c>
      <c r="H628" s="104">
        <f>SUM(G468)</f>
        <v>180593.84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472420.47</v>
      </c>
      <c r="H629" s="104">
        <f>SUM(H468)</f>
        <v>472420.47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75973.02</v>
      </c>
      <c r="H631" s="104">
        <f>SUM(J468)</f>
        <v>75973.02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5436014.120000001</v>
      </c>
      <c r="H632" s="104">
        <f>SUM(F472)</f>
        <v>5436014.1200000001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472420.47000000003</v>
      </c>
      <c r="H633" s="104">
        <f>SUM(H472)</f>
        <v>472420.47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180593.84</v>
      </c>
      <c r="H635" s="104">
        <f>SUM(G472)</f>
        <v>180593.84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75973.02</v>
      </c>
      <c r="H637" s="164">
        <f>SUM(J468)</f>
        <v>75973.02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329364.31</v>
      </c>
      <c r="H640" s="104">
        <f>SUM(G461)</f>
        <v>329364.31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329364.31</v>
      </c>
      <c r="H642" s="104">
        <f>SUM(I461)</f>
        <v>329364.31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973.02</v>
      </c>
      <c r="H644" s="104">
        <f>H408</f>
        <v>973.02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75973.02</v>
      </c>
      <c r="H646" s="104">
        <f>L408</f>
        <v>75973.02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193731.09</v>
      </c>
      <c r="H647" s="104">
        <f>L208+L226+L244</f>
        <v>193731.09000000003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60857.53</v>
      </c>
      <c r="H648" s="104">
        <f>(J257+J338)-(J255+J336)</f>
        <v>60857.530000000006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78081.570000000007</v>
      </c>
      <c r="H649" s="104">
        <f>H598</f>
        <v>78081.569999999992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115649.52</v>
      </c>
      <c r="H651" s="104">
        <f>J598</f>
        <v>115649.52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19987.36</v>
      </c>
      <c r="H652" s="104">
        <f>K263+K345</f>
        <v>19987.36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3626418.59</v>
      </c>
      <c r="G660" s="19">
        <f>(L229+L309+L359)</f>
        <v>0</v>
      </c>
      <c r="H660" s="19">
        <f>(L247+L328+L360)</f>
        <v>2301054.66</v>
      </c>
      <c r="I660" s="19">
        <f>SUM(F660:H660)</f>
        <v>5927473.25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28750.127680323982</v>
      </c>
      <c r="G661" s="19">
        <f>(L359/IF(SUM(L358:L360)=0,1,SUM(L358:L360))*(SUM(G97:G110)))</f>
        <v>0</v>
      </c>
      <c r="H661" s="19">
        <f>(L360/IF(SUM(L358:L360)=0,1,SUM(L358:L360))*(SUM(G97:G110)))</f>
        <v>21688.932319676016</v>
      </c>
      <c r="I661" s="19">
        <f>SUM(F661:H661)</f>
        <v>50439.06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78081.570000000007</v>
      </c>
      <c r="G662" s="19">
        <f>(L226+L306)-(J226+J306)</f>
        <v>0</v>
      </c>
      <c r="H662" s="19">
        <f>(L244+L325)-(J244+J325)</f>
        <v>115649.52</v>
      </c>
      <c r="I662" s="19">
        <f>SUM(F662:H662)</f>
        <v>193731.09000000003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122438.01</v>
      </c>
      <c r="G663" s="199">
        <f>SUM(G575:G587)+SUM(I602:I604)+L612</f>
        <v>0</v>
      </c>
      <c r="H663" s="199">
        <f>SUM(H575:H587)+SUM(J602:J604)+L613</f>
        <v>159579.81</v>
      </c>
      <c r="I663" s="19">
        <f>SUM(F663:H663)</f>
        <v>282017.82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3397148.8823196758</v>
      </c>
      <c r="G664" s="19">
        <f>G660-SUM(G661:G663)</f>
        <v>0</v>
      </c>
      <c r="H664" s="19">
        <f>H660-SUM(H661:H663)</f>
        <v>2004136.397680324</v>
      </c>
      <c r="I664" s="19">
        <f>I660-SUM(I661:I663)</f>
        <v>5401285.2800000003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122.35+85.22</f>
        <v>207.57</v>
      </c>
      <c r="G665" s="248"/>
      <c r="H665" s="248">
        <v>138.77000000000001</v>
      </c>
      <c r="I665" s="19">
        <f>SUM(F665:H665)</f>
        <v>346.34000000000003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16366.28</v>
      </c>
      <c r="G667" s="19" t="e">
        <f>ROUND(G664/G665,2)</f>
        <v>#DIV/0!</v>
      </c>
      <c r="H667" s="19">
        <f>ROUND(H664/H665,2)</f>
        <v>14442.14</v>
      </c>
      <c r="I667" s="19">
        <f>ROUND(I664/I665,2)</f>
        <v>15595.33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-7.66</v>
      </c>
      <c r="I670" s="19">
        <f>SUM(F670:H670)</f>
        <v>-7.66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16366.28</v>
      </c>
      <c r="G672" s="19" t="e">
        <f>ROUND((G664+G669)/(G665+G670),2)</f>
        <v>#DIV/0!</v>
      </c>
      <c r="H672" s="19">
        <f>ROUND((H664+H669)/(H665+H670),2)</f>
        <v>15285.92</v>
      </c>
      <c r="I672" s="19">
        <f>ROUND((I664+I669)/(I665+I670),2)</f>
        <v>15948.05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NORTHUMBERLAND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1607278.3400000003</v>
      </c>
      <c r="C9" s="229">
        <f>'DOE25'!G197+'DOE25'!G215+'DOE25'!G233+'DOE25'!G276+'DOE25'!G295+'DOE25'!G314</f>
        <v>742046.23</v>
      </c>
    </row>
    <row r="10" spans="1:3" x14ac:dyDescent="0.2">
      <c r="A10" t="s">
        <v>779</v>
      </c>
      <c r="B10" s="240">
        <v>1511001.84</v>
      </c>
      <c r="C10" s="240">
        <v>734681.08</v>
      </c>
    </row>
    <row r="11" spans="1:3" x14ac:dyDescent="0.2">
      <c r="A11" t="s">
        <v>780</v>
      </c>
      <c r="B11" s="240">
        <v>96276.5</v>
      </c>
      <c r="C11" s="240">
        <v>7365.15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1607278.34</v>
      </c>
      <c r="C13" s="231">
        <f>SUM(C10:C12)</f>
        <v>742046.23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426850.29999999993</v>
      </c>
      <c r="C18" s="229">
        <f>'DOE25'!G198+'DOE25'!G216+'DOE25'!G234+'DOE25'!G277+'DOE25'!G296+'DOE25'!G315</f>
        <v>106114.69</v>
      </c>
    </row>
    <row r="19" spans="1:3" x14ac:dyDescent="0.2">
      <c r="A19" t="s">
        <v>779</v>
      </c>
      <c r="B19" s="240">
        <v>242395.76</v>
      </c>
      <c r="C19" s="240">
        <v>92003.92</v>
      </c>
    </row>
    <row r="20" spans="1:3" x14ac:dyDescent="0.2">
      <c r="A20" t="s">
        <v>780</v>
      </c>
      <c r="B20" s="240">
        <v>184454.54</v>
      </c>
      <c r="C20" s="240">
        <v>14110.77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426850.30000000005</v>
      </c>
      <c r="C22" s="231">
        <f>SUM(C19:C21)</f>
        <v>106114.69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44837.100000000006</v>
      </c>
      <c r="C36" s="235">
        <f>'DOE25'!G200+'DOE25'!G218+'DOE25'!G236+'DOE25'!G279+'DOE25'!G298+'DOE25'!G317</f>
        <v>6431.6699999999992</v>
      </c>
    </row>
    <row r="37" spans="1:3" x14ac:dyDescent="0.2">
      <c r="A37" t="s">
        <v>779</v>
      </c>
      <c r="B37" s="240">
        <v>15813.1</v>
      </c>
      <c r="C37" s="240">
        <v>4211.33</v>
      </c>
    </row>
    <row r="38" spans="1:3" x14ac:dyDescent="0.2">
      <c r="A38" t="s">
        <v>780</v>
      </c>
      <c r="B38" s="240">
        <v>29024</v>
      </c>
      <c r="C38" s="240">
        <v>2220.34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44837.1</v>
      </c>
      <c r="C40" s="231">
        <f>SUM(C37:C39)</f>
        <v>6431.67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27" sqref="D2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NORTHUMBERLAND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3199225.16</v>
      </c>
      <c r="D5" s="20">
        <f>SUM('DOE25'!L197:L200)+SUM('DOE25'!L215:L218)+SUM('DOE25'!L233:L236)-F5-G5</f>
        <v>3161048.18</v>
      </c>
      <c r="E5" s="243"/>
      <c r="F5" s="255">
        <f>SUM('DOE25'!J197:J200)+SUM('DOE25'!J215:J218)+SUM('DOE25'!J233:J236)</f>
        <v>30131.06</v>
      </c>
      <c r="G5" s="53">
        <f>SUM('DOE25'!K197:K200)+SUM('DOE25'!K215:K218)+SUM('DOE25'!K233:K236)</f>
        <v>8045.92</v>
      </c>
      <c r="H5" s="259"/>
    </row>
    <row r="6" spans="1:9" x14ac:dyDescent="0.2">
      <c r="A6" s="32">
        <v>2100</v>
      </c>
      <c r="B6" t="s">
        <v>801</v>
      </c>
      <c r="C6" s="245">
        <f t="shared" si="0"/>
        <v>296338.23000000004</v>
      </c>
      <c r="D6" s="20">
        <f>'DOE25'!L202+'DOE25'!L220+'DOE25'!L238-F6-G6</f>
        <v>292718.35000000003</v>
      </c>
      <c r="E6" s="243"/>
      <c r="F6" s="255">
        <f>'DOE25'!J202+'DOE25'!J220+'DOE25'!J238</f>
        <v>2501</v>
      </c>
      <c r="G6" s="53">
        <f>'DOE25'!K202+'DOE25'!K220+'DOE25'!K238</f>
        <v>1118.8800000000001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149791.66</v>
      </c>
      <c r="D7" s="20">
        <f>'DOE25'!L203+'DOE25'!L221+'DOE25'!L239-F7-G7</f>
        <v>149686.66</v>
      </c>
      <c r="E7" s="243"/>
      <c r="F7" s="255">
        <f>'DOE25'!J203+'DOE25'!J221+'DOE25'!J239</f>
        <v>105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208697.74999999997</v>
      </c>
      <c r="D8" s="243"/>
      <c r="E8" s="20">
        <f>'DOE25'!L204+'DOE25'!L222+'DOE25'!L240-F8-G8-D9-D11</f>
        <v>204064.99999999997</v>
      </c>
      <c r="F8" s="255">
        <f>'DOE25'!J204+'DOE25'!J222+'DOE25'!J240</f>
        <v>0</v>
      </c>
      <c r="G8" s="53">
        <f>'DOE25'!K204+'DOE25'!K222+'DOE25'!K240</f>
        <v>4632.75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38362.1</v>
      </c>
      <c r="D9" s="244">
        <v>38362.1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10000</v>
      </c>
      <c r="D10" s="243"/>
      <c r="E10" s="244">
        <v>10000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135664.73000000001</v>
      </c>
      <c r="D11" s="244">
        <v>135664.73000000001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588187.84</v>
      </c>
      <c r="D12" s="20">
        <f>'DOE25'!L205+'DOE25'!L223+'DOE25'!L241-F12-G12</f>
        <v>569810.47</v>
      </c>
      <c r="E12" s="243"/>
      <c r="F12" s="255">
        <f>'DOE25'!J205+'DOE25'!J223+'DOE25'!J241</f>
        <v>7728.5</v>
      </c>
      <c r="G12" s="53">
        <f>'DOE25'!K205+'DOE25'!K223+'DOE25'!K241</f>
        <v>10648.87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474263.59</v>
      </c>
      <c r="D14" s="20">
        <f>'DOE25'!L207+'DOE25'!L225+'DOE25'!L243-F14-G14</f>
        <v>474263.59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193731.09000000003</v>
      </c>
      <c r="D15" s="20">
        <f>'DOE25'!L208+'DOE25'!L226+'DOE25'!L244-F15-G15</f>
        <v>193731.09000000003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3388.11</v>
      </c>
      <c r="D22" s="243"/>
      <c r="E22" s="243"/>
      <c r="F22" s="255">
        <f>'DOE25'!L255+'DOE25'!L336</f>
        <v>3388.11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24581.5</v>
      </c>
      <c r="D25" s="243"/>
      <c r="E25" s="243"/>
      <c r="F25" s="258"/>
      <c r="G25" s="256"/>
      <c r="H25" s="257">
        <f>'DOE25'!L260+'DOE25'!L261+'DOE25'!L341+'DOE25'!L342</f>
        <v>24581.5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180593.84</v>
      </c>
      <c r="D29" s="20">
        <f>'DOE25'!L358+'DOE25'!L359+'DOE25'!L360-'DOE25'!I367-F29-G29</f>
        <v>178793.84</v>
      </c>
      <c r="E29" s="243"/>
      <c r="F29" s="255">
        <f>'DOE25'!J358+'DOE25'!J359+'DOE25'!J360</f>
        <v>1800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472420.47</v>
      </c>
      <c r="D31" s="20">
        <f>'DOE25'!L290+'DOE25'!L309+'DOE25'!L328+'DOE25'!L333+'DOE25'!L334+'DOE25'!L335-F31-G31</f>
        <v>452028.5</v>
      </c>
      <c r="E31" s="243"/>
      <c r="F31" s="255">
        <f>'DOE25'!J290+'DOE25'!J309+'DOE25'!J328+'DOE25'!J333+'DOE25'!J334+'DOE25'!J335</f>
        <v>20391.97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5646107.5099999998</v>
      </c>
      <c r="E33" s="246">
        <f>SUM(E5:E31)</f>
        <v>214064.99999999997</v>
      </c>
      <c r="F33" s="246">
        <f>SUM(F5:F31)</f>
        <v>66045.64</v>
      </c>
      <c r="G33" s="246">
        <f>SUM(G5:G31)</f>
        <v>24446.42</v>
      </c>
      <c r="H33" s="246">
        <f>SUM(H5:H31)</f>
        <v>24581.5</v>
      </c>
    </row>
    <row r="35" spans="2:8" ht="12" thickBot="1" x14ac:dyDescent="0.25">
      <c r="B35" s="253" t="s">
        <v>847</v>
      </c>
      <c r="D35" s="254">
        <f>E33</f>
        <v>214064.99999999997</v>
      </c>
      <c r="E35" s="249"/>
    </row>
    <row r="36" spans="2:8" ht="12" thickTop="1" x14ac:dyDescent="0.2">
      <c r="B36" t="s">
        <v>815</v>
      </c>
      <c r="D36" s="20">
        <f>D33</f>
        <v>5646107.5099999998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NORTHUMBERLAND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115005.58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329364.31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71113.33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4355.49</v>
      </c>
      <c r="E13" s="95">
        <f>'DOE25'!H14</f>
        <v>58969.84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186118.91</v>
      </c>
      <c r="D18" s="41">
        <f>SUM(D8:D17)</f>
        <v>4355.49</v>
      </c>
      <c r="E18" s="41">
        <f>SUM(E8:E17)</f>
        <v>58969.84</v>
      </c>
      <c r="F18" s="41">
        <f>SUM(F8:F17)</f>
        <v>0</v>
      </c>
      <c r="G18" s="41">
        <f>SUM(G8:G17)</f>
        <v>329364.31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4355.49</v>
      </c>
      <c r="E21" s="95">
        <f>'DOE25'!H22</f>
        <v>58969.84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12000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12000</v>
      </c>
      <c r="D31" s="41">
        <f>SUM(D21:D30)</f>
        <v>4355.49</v>
      </c>
      <c r="E31" s="41">
        <f>SUM(E21:E30)</f>
        <v>58969.84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329364.31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43560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60000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70558.91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174118.91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329364.31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186118.91</v>
      </c>
      <c r="D51" s="41">
        <f>D50+D31</f>
        <v>4355.49</v>
      </c>
      <c r="E51" s="41">
        <f>E50+E31</f>
        <v>58969.84</v>
      </c>
      <c r="F51" s="41">
        <f>F50+F31</f>
        <v>0</v>
      </c>
      <c r="G51" s="41">
        <f>G50+G31</f>
        <v>329364.31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1551066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825806.03999999992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1548.23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973.02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50439.06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49464.33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876818.59999999986</v>
      </c>
      <c r="D62" s="130">
        <f>SUM(D57:D61)</f>
        <v>50439.06</v>
      </c>
      <c r="E62" s="130">
        <f>SUM(E57:E61)</f>
        <v>0</v>
      </c>
      <c r="F62" s="130">
        <f>SUM(F57:F61)</f>
        <v>0</v>
      </c>
      <c r="G62" s="130">
        <f>SUM(G57:G61)</f>
        <v>973.02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2427884.5999999996</v>
      </c>
      <c r="D63" s="22">
        <f>D56+D62</f>
        <v>50439.06</v>
      </c>
      <c r="E63" s="22">
        <f>E56+E62</f>
        <v>0</v>
      </c>
      <c r="F63" s="22">
        <f>F56+F62</f>
        <v>0</v>
      </c>
      <c r="G63" s="22">
        <f>G56+G62</f>
        <v>973.02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2618278.02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191323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1543.22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2811144.24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20571.419999999998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18726.599999999999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2259.9899999999998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39298.019999999997</v>
      </c>
      <c r="D78" s="130">
        <f>SUM(D72:D77)</f>
        <v>2259.9899999999998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2850442.2600000002</v>
      </c>
      <c r="D81" s="130">
        <f>SUM(D79:D80)+D78+D70</f>
        <v>2259.9899999999998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52684.6</v>
      </c>
      <c r="D88" s="95">
        <f>SUM('DOE25'!G153:G161)</f>
        <v>107907.43</v>
      </c>
      <c r="E88" s="95">
        <f>SUM('DOE25'!H153:H161)</f>
        <v>472420.47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6511.74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59196.34</v>
      </c>
      <c r="D91" s="131">
        <f>SUM(D85:D90)</f>
        <v>107907.43</v>
      </c>
      <c r="E91" s="131">
        <f>SUM(E85:E90)</f>
        <v>472420.47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4256.6899999999996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19987.36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4256.6899999999996</v>
      </c>
      <c r="D103" s="86">
        <f>SUM(D93:D102)</f>
        <v>19987.36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5341779.8899999997</v>
      </c>
      <c r="D104" s="86">
        <f>D63+D81+D91+D103</f>
        <v>180593.83999999997</v>
      </c>
      <c r="E104" s="86">
        <f>E63+E81+E91+E103</f>
        <v>472420.47</v>
      </c>
      <c r="F104" s="86">
        <f>F63+F81+F91+F103</f>
        <v>0</v>
      </c>
      <c r="G104" s="86">
        <f>G63+G81+G103</f>
        <v>75973.02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2246315</v>
      </c>
      <c r="D109" s="24" t="s">
        <v>289</v>
      </c>
      <c r="E109" s="95">
        <f>('DOE25'!L276)+('DOE25'!L295)+('DOE25'!L314)</f>
        <v>362063.26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832229.88</v>
      </c>
      <c r="D110" s="24" t="s">
        <v>289</v>
      </c>
      <c r="E110" s="95">
        <f>('DOE25'!L277)+('DOE25'!L296)+('DOE25'!L315)</f>
        <v>71343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39543.129999999997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81137.149999999994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9803.2100000000009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3199225.1599999997</v>
      </c>
      <c r="D115" s="86">
        <f>SUM(D109:D114)</f>
        <v>0</v>
      </c>
      <c r="E115" s="86">
        <f>SUM(E109:E114)</f>
        <v>443209.47000000003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296338.23000000004</v>
      </c>
      <c r="D118" s="24" t="s">
        <v>289</v>
      </c>
      <c r="E118" s="95">
        <f>+('DOE25'!L281)+('DOE25'!L300)+('DOE25'!L319)</f>
        <v>29211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149791.66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382724.57999999996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588187.84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474263.59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193731.09000000003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180593.84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2085036.9900000002</v>
      </c>
      <c r="D128" s="86">
        <f>SUM(D118:D127)</f>
        <v>180593.84</v>
      </c>
      <c r="E128" s="86">
        <f>SUM(E118:E127)</f>
        <v>29211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3388.11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4581.5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19987.36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75973.02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-973.02000000000407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28795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151751.97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5436014.1200000001</v>
      </c>
      <c r="D145" s="86">
        <f>(D115+D128+D144)</f>
        <v>180593.84</v>
      </c>
      <c r="E145" s="86">
        <f>(E115+E128+E144)</f>
        <v>472420.47000000003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09/10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09/20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225501.31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5.39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24581.5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24581.5</v>
      </c>
    </row>
    <row r="159" spans="1:9" x14ac:dyDescent="0.2">
      <c r="A159" s="22" t="s">
        <v>35</v>
      </c>
      <c r="B159" s="137">
        <f>'DOE25'!F498</f>
        <v>75000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75000</v>
      </c>
    </row>
    <row r="160" spans="1:9" x14ac:dyDescent="0.2">
      <c r="A160" s="22" t="s">
        <v>36</v>
      </c>
      <c r="B160" s="137">
        <f>'DOE25'!F499</f>
        <v>10106.25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10106.25</v>
      </c>
    </row>
    <row r="161" spans="1:7" x14ac:dyDescent="0.2">
      <c r="A161" s="22" t="s">
        <v>37</v>
      </c>
      <c r="B161" s="137">
        <f>'DOE25'!F500</f>
        <v>85106.25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85106.25</v>
      </c>
    </row>
    <row r="162" spans="1:7" x14ac:dyDescent="0.2">
      <c r="A162" s="22" t="s">
        <v>38</v>
      </c>
      <c r="B162" s="137">
        <f>'DOE25'!F501</f>
        <v>15000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15000</v>
      </c>
    </row>
    <row r="163" spans="1:7" x14ac:dyDescent="0.2">
      <c r="A163" s="22" t="s">
        <v>39</v>
      </c>
      <c r="B163" s="137">
        <f>'DOE25'!F502</f>
        <v>3638.25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3638.25</v>
      </c>
    </row>
    <row r="164" spans="1:7" x14ac:dyDescent="0.2">
      <c r="A164" s="22" t="s">
        <v>246</v>
      </c>
      <c r="B164" s="137">
        <f>'DOE25'!F503</f>
        <v>18638.25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18638.25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NORTHUMBERLAND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16366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15286</v>
      </c>
    </row>
    <row r="7" spans="1:4" x14ac:dyDescent="0.2">
      <c r="B7" t="s">
        <v>705</v>
      </c>
      <c r="C7" s="179">
        <f>IF('DOE25'!I665+'DOE25'!I670=0,0,ROUND('DOE25'!I672,0))</f>
        <v>15948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2608378</v>
      </c>
      <c r="D10" s="182">
        <f>ROUND((C10/$C$28)*100,1)</f>
        <v>44.1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903573</v>
      </c>
      <c r="D11" s="182">
        <f>ROUND((C11/$C$28)*100,1)</f>
        <v>15.3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39543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81137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325549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149792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382725</v>
      </c>
      <c r="D17" s="182">
        <f t="shared" si="0"/>
        <v>6.5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588188</v>
      </c>
      <c r="D18" s="182">
        <f t="shared" si="0"/>
        <v>9.9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474264</v>
      </c>
      <c r="D20" s="182">
        <f t="shared" si="0"/>
        <v>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193731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9803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4582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28795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130154.94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5920214.9400000004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3388</v>
      </c>
    </row>
    <row r="30" spans="1:4" x14ac:dyDescent="0.2">
      <c r="B30" s="187" t="s">
        <v>729</v>
      </c>
      <c r="C30" s="180">
        <f>SUM(C28:C29)</f>
        <v>5923602.9400000004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1551066</v>
      </c>
      <c r="D35" s="182">
        <f t="shared" ref="D35:D40" si="1">ROUND((C35/$C$41)*100,1)</f>
        <v>26.2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882048.31</v>
      </c>
      <c r="D36" s="182">
        <f t="shared" si="1"/>
        <v>14.9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2809601</v>
      </c>
      <c r="D37" s="182">
        <f t="shared" si="1"/>
        <v>47.4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43101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639524</v>
      </c>
      <c r="D39" s="182">
        <f t="shared" si="1"/>
        <v>10.8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5925340.3100000005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NORTHUMBERLAND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2016-08-12T11:53:40Z</cp:lastPrinted>
  <dcterms:created xsi:type="dcterms:W3CDTF">1997-12-04T19:04:30Z</dcterms:created>
  <dcterms:modified xsi:type="dcterms:W3CDTF">2016-12-01T18:43:29Z</dcterms:modified>
</cp:coreProperties>
</file>