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24000" windowHeight="9135" tabRatio="855" activeTab="1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H233" i="1" l="1"/>
  <c r="G611" i="1" l="1"/>
  <c r="F611" i="1"/>
  <c r="F197" i="1"/>
  <c r="H234" i="1"/>
  <c r="F23" i="1"/>
  <c r="F14" i="1"/>
  <c r="F24" i="1"/>
  <c r="F472" i="1"/>
  <c r="H581" i="1" l="1"/>
  <c r="H577" i="1"/>
  <c r="H582" i="1"/>
  <c r="H578" i="1"/>
  <c r="H583" i="1"/>
  <c r="F579" i="1"/>
  <c r="F582" i="1"/>
  <c r="H526" i="1" l="1"/>
  <c r="G526" i="1"/>
  <c r="G46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E8" i="13" s="1"/>
  <c r="C8" i="13" s="1"/>
  <c r="D39" i="13"/>
  <c r="F13" i="13"/>
  <c r="G13" i="13"/>
  <c r="E13" i="13" s="1"/>
  <c r="C13" i="13" s="1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29" i="1" s="1"/>
  <c r="L217" i="1"/>
  <c r="L218" i="1"/>
  <c r="L233" i="1"/>
  <c r="L234" i="1"/>
  <c r="L235" i="1"/>
  <c r="L236" i="1"/>
  <c r="F6" i="13"/>
  <c r="G6" i="13"/>
  <c r="L202" i="1"/>
  <c r="C15" i="10" s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C21" i="10" s="1"/>
  <c r="F17" i="13"/>
  <c r="D17" i="13" s="1"/>
  <c r="C17" i="13" s="1"/>
  <c r="G17" i="13"/>
  <c r="L251" i="1"/>
  <c r="F18" i="13"/>
  <c r="G18" i="13"/>
  <c r="D18" i="13" s="1"/>
  <c r="C18" i="13" s="1"/>
  <c r="L252" i="1"/>
  <c r="F19" i="13"/>
  <c r="G19" i="13"/>
  <c r="L253" i="1"/>
  <c r="D19" i="13" s="1"/>
  <c r="C19" i="13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E112" i="2" s="1"/>
  <c r="L281" i="1"/>
  <c r="L282" i="1"/>
  <c r="L283" i="1"/>
  <c r="L284" i="1"/>
  <c r="E121" i="2" s="1"/>
  <c r="L285" i="1"/>
  <c r="L286" i="1"/>
  <c r="L287" i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28" i="1" s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93" i="1" s="1"/>
  <c r="C138" i="2" s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56" i="2" s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C91" i="2" s="1"/>
  <c r="F162" i="1"/>
  <c r="G147" i="1"/>
  <c r="G162" i="1"/>
  <c r="H147" i="1"/>
  <c r="H162" i="1"/>
  <c r="I147" i="1"/>
  <c r="I162" i="1"/>
  <c r="C19" i="10"/>
  <c r="L250" i="1"/>
  <c r="L332" i="1"/>
  <c r="L254" i="1"/>
  <c r="C25" i="10"/>
  <c r="L268" i="1"/>
  <c r="L269" i="1"/>
  <c r="C143" i="2" s="1"/>
  <c r="L349" i="1"/>
  <c r="L350" i="1"/>
  <c r="I665" i="1"/>
  <c r="I670" i="1"/>
  <c r="F662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L537" i="1"/>
  <c r="I550" i="1" s="1"/>
  <c r="I552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E56" i="2"/>
  <c r="C57" i="2"/>
  <c r="E57" i="2"/>
  <c r="E62" i="2" s="1"/>
  <c r="E63" i="2" s="1"/>
  <c r="C58" i="2"/>
  <c r="E58" i="2"/>
  <c r="C59" i="2"/>
  <c r="D59" i="2"/>
  <c r="D62" i="2" s="1"/>
  <c r="D63" i="2" s="1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8" i="2" s="1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E110" i="2"/>
  <c r="E111" i="2"/>
  <c r="C113" i="2"/>
  <c r="E113" i="2"/>
  <c r="E114" i="2"/>
  <c r="D115" i="2"/>
  <c r="F115" i="2"/>
  <c r="G115" i="2"/>
  <c r="E118" i="2"/>
  <c r="E119" i="2"/>
  <c r="E120" i="2"/>
  <c r="C122" i="2"/>
  <c r="E122" i="2"/>
  <c r="E123" i="2"/>
  <c r="E124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G157" i="2" s="1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H32" i="1"/>
  <c r="I32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F192" i="1" s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L256" i="1" s="1"/>
  <c r="H256" i="1"/>
  <c r="I256" i="1"/>
  <c r="J256" i="1"/>
  <c r="K256" i="1"/>
  <c r="F290" i="1"/>
  <c r="G290" i="1"/>
  <c r="G338" i="1" s="1"/>
  <c r="G352" i="1" s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G408" i="1" s="1"/>
  <c r="H645" i="1" s="1"/>
  <c r="H401" i="1"/>
  <c r="H408" i="1" s="1"/>
  <c r="H644" i="1" s="1"/>
  <c r="I401" i="1"/>
  <c r="F407" i="1"/>
  <c r="G407" i="1"/>
  <c r="H407" i="1"/>
  <c r="I407" i="1"/>
  <c r="F408" i="1"/>
  <c r="I408" i="1"/>
  <c r="L413" i="1"/>
  <c r="L414" i="1"/>
  <c r="L419" i="1" s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7" i="1" s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F452" i="1"/>
  <c r="G452" i="1"/>
  <c r="H452" i="1"/>
  <c r="F460" i="1"/>
  <c r="F461" i="1" s="1"/>
  <c r="H639" i="1" s="1"/>
  <c r="J639" i="1" s="1"/>
  <c r="G460" i="1"/>
  <c r="H460" i="1"/>
  <c r="G461" i="1"/>
  <c r="H461" i="1"/>
  <c r="H641" i="1" s="1"/>
  <c r="F470" i="1"/>
  <c r="G470" i="1"/>
  <c r="H470" i="1"/>
  <c r="H476" i="1" s="1"/>
  <c r="H624" i="1" s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K571" i="1" s="1"/>
  <c r="L562" i="1"/>
  <c r="L563" i="1"/>
  <c r="L564" i="1"/>
  <c r="F565" i="1"/>
  <c r="G565" i="1"/>
  <c r="H565" i="1"/>
  <c r="I565" i="1"/>
  <c r="J565" i="1"/>
  <c r="J571" i="1" s="1"/>
  <c r="K565" i="1"/>
  <c r="L567" i="1"/>
  <c r="L568" i="1"/>
  <c r="L569" i="1"/>
  <c r="L570" i="1" s="1"/>
  <c r="F570" i="1"/>
  <c r="G570" i="1"/>
  <c r="H570" i="1"/>
  <c r="I570" i="1"/>
  <c r="I571" i="1" s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G639" i="1"/>
  <c r="G640" i="1"/>
  <c r="H640" i="1"/>
  <c r="G641" i="1"/>
  <c r="J641" i="1" s="1"/>
  <c r="G643" i="1"/>
  <c r="J643" i="1" s="1"/>
  <c r="H643" i="1"/>
  <c r="G644" i="1"/>
  <c r="G650" i="1"/>
  <c r="G651" i="1"/>
  <c r="G652" i="1"/>
  <c r="H652" i="1"/>
  <c r="G653" i="1"/>
  <c r="H653" i="1"/>
  <c r="G654" i="1"/>
  <c r="H654" i="1"/>
  <c r="H655" i="1"/>
  <c r="C26" i="10"/>
  <c r="L290" i="1"/>
  <c r="D12" i="13"/>
  <c r="C12" i="13" s="1"/>
  <c r="F18" i="2"/>
  <c r="E103" i="2"/>
  <c r="D91" i="2"/>
  <c r="G62" i="2"/>
  <c r="E78" i="2"/>
  <c r="H112" i="1"/>
  <c r="F112" i="1"/>
  <c r="L433" i="1"/>
  <c r="I169" i="1"/>
  <c r="H169" i="1"/>
  <c r="J476" i="1"/>
  <c r="H626" i="1" s="1"/>
  <c r="F476" i="1"/>
  <c r="H622" i="1" s="1"/>
  <c r="I476" i="1"/>
  <c r="H625" i="1" s="1"/>
  <c r="J625" i="1" s="1"/>
  <c r="J140" i="1"/>
  <c r="F571" i="1"/>
  <c r="G22" i="2"/>
  <c r="H140" i="1"/>
  <c r="F22" i="13"/>
  <c r="C22" i="13" s="1"/>
  <c r="J640" i="1"/>
  <c r="H571" i="1"/>
  <c r="J545" i="1"/>
  <c r="H338" i="1"/>
  <c r="H352" i="1" s="1"/>
  <c r="F338" i="1"/>
  <c r="F352" i="1" s="1"/>
  <c r="H192" i="1"/>
  <c r="L309" i="1"/>
  <c r="J636" i="1"/>
  <c r="L565" i="1"/>
  <c r="L614" i="1" l="1"/>
  <c r="J622" i="1"/>
  <c r="I545" i="1"/>
  <c r="G552" i="1"/>
  <c r="L529" i="1"/>
  <c r="H545" i="1"/>
  <c r="F552" i="1"/>
  <c r="G545" i="1"/>
  <c r="J617" i="1"/>
  <c r="C18" i="2"/>
  <c r="D31" i="2"/>
  <c r="D18" i="2"/>
  <c r="A13" i="12"/>
  <c r="K605" i="1"/>
  <c r="G648" i="1" s="1"/>
  <c r="J651" i="1"/>
  <c r="K598" i="1"/>
  <c r="G647" i="1" s="1"/>
  <c r="K503" i="1"/>
  <c r="G164" i="2"/>
  <c r="G161" i="2"/>
  <c r="G156" i="2"/>
  <c r="G476" i="1"/>
  <c r="H623" i="1" s="1"/>
  <c r="J623" i="1" s="1"/>
  <c r="J644" i="1"/>
  <c r="L401" i="1"/>
  <c r="C139" i="2" s="1"/>
  <c r="J634" i="1"/>
  <c r="F661" i="1"/>
  <c r="H661" i="1"/>
  <c r="J655" i="1"/>
  <c r="L270" i="1"/>
  <c r="C32" i="10"/>
  <c r="C124" i="2"/>
  <c r="D14" i="13"/>
  <c r="C14" i="13" s="1"/>
  <c r="A40" i="12"/>
  <c r="C112" i="2"/>
  <c r="C111" i="2"/>
  <c r="C11" i="10"/>
  <c r="J257" i="1"/>
  <c r="J271" i="1" s="1"/>
  <c r="I257" i="1"/>
  <c r="I271" i="1" s="1"/>
  <c r="L247" i="1"/>
  <c r="H660" i="1" s="1"/>
  <c r="F257" i="1"/>
  <c r="F271" i="1" s="1"/>
  <c r="H257" i="1"/>
  <c r="H271" i="1" s="1"/>
  <c r="C10" i="10"/>
  <c r="E16" i="13"/>
  <c r="C16" i="13" s="1"/>
  <c r="D15" i="13"/>
  <c r="C15" i="13" s="1"/>
  <c r="G649" i="1"/>
  <c r="J649" i="1" s="1"/>
  <c r="H647" i="1"/>
  <c r="I662" i="1"/>
  <c r="C18" i="10"/>
  <c r="C17" i="10"/>
  <c r="D7" i="13"/>
  <c r="C7" i="13" s="1"/>
  <c r="C16" i="10"/>
  <c r="K257" i="1"/>
  <c r="K271" i="1" s="1"/>
  <c r="C118" i="2"/>
  <c r="D6" i="13"/>
  <c r="C6" i="13" s="1"/>
  <c r="C12" i="10"/>
  <c r="A31" i="12"/>
  <c r="G257" i="1"/>
  <c r="G271" i="1" s="1"/>
  <c r="D5" i="13"/>
  <c r="C5" i="13" s="1"/>
  <c r="G645" i="1"/>
  <c r="J645" i="1" s="1"/>
  <c r="C70" i="2"/>
  <c r="C81" i="2" s="1"/>
  <c r="C104" i="2" s="1"/>
  <c r="E128" i="2"/>
  <c r="E115" i="2"/>
  <c r="K550" i="1"/>
  <c r="D29" i="13"/>
  <c r="C29" i="13" s="1"/>
  <c r="G624" i="1"/>
  <c r="J624" i="1" s="1"/>
  <c r="L534" i="1"/>
  <c r="K500" i="1"/>
  <c r="I460" i="1"/>
  <c r="I452" i="1"/>
  <c r="I461" i="1" s="1"/>
  <c r="H642" i="1" s="1"/>
  <c r="I446" i="1"/>
  <c r="G642" i="1" s="1"/>
  <c r="C125" i="2"/>
  <c r="C123" i="2"/>
  <c r="C121" i="2"/>
  <c r="C119" i="2"/>
  <c r="C114" i="2"/>
  <c r="C110" i="2"/>
  <c r="G661" i="1"/>
  <c r="L211" i="1"/>
  <c r="C20" i="10"/>
  <c r="L362" i="1"/>
  <c r="C27" i="10" s="1"/>
  <c r="C35" i="10"/>
  <c r="C29" i="10"/>
  <c r="L544" i="1"/>
  <c r="L524" i="1"/>
  <c r="J338" i="1"/>
  <c r="J352" i="1" s="1"/>
  <c r="D127" i="2"/>
  <c r="D128" i="2" s="1"/>
  <c r="D145" i="2" s="1"/>
  <c r="C120" i="2"/>
  <c r="C13" i="10"/>
  <c r="K551" i="1"/>
  <c r="K552" i="1" s="1"/>
  <c r="H25" i="13"/>
  <c r="F169" i="1"/>
  <c r="E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G51" i="2" s="1"/>
  <c r="J652" i="1"/>
  <c r="J642" i="1"/>
  <c r="G571" i="1"/>
  <c r="I434" i="1"/>
  <c r="G434" i="1"/>
  <c r="E104" i="2"/>
  <c r="I663" i="1"/>
  <c r="L545" i="1" l="1"/>
  <c r="J647" i="1"/>
  <c r="L408" i="1"/>
  <c r="C141" i="2"/>
  <c r="C144" i="2" s="1"/>
  <c r="G635" i="1"/>
  <c r="J635" i="1" s="1"/>
  <c r="I661" i="1"/>
  <c r="H664" i="1"/>
  <c r="H667" i="1" s="1"/>
  <c r="H648" i="1"/>
  <c r="J648" i="1" s="1"/>
  <c r="C115" i="2"/>
  <c r="L257" i="1"/>
  <c r="L271" i="1" s="1"/>
  <c r="G632" i="1" s="1"/>
  <c r="J632" i="1" s="1"/>
  <c r="E33" i="13"/>
  <c r="D35" i="13" s="1"/>
  <c r="C28" i="10"/>
  <c r="D22" i="10" s="1"/>
  <c r="F660" i="1"/>
  <c r="F664" i="1" s="1"/>
  <c r="F672" i="1" s="1"/>
  <c r="C4" i="10" s="1"/>
  <c r="G664" i="1"/>
  <c r="D31" i="13"/>
  <c r="C31" i="13" s="1"/>
  <c r="C25" i="13"/>
  <c r="H33" i="13"/>
  <c r="C128" i="2"/>
  <c r="C51" i="2"/>
  <c r="G631" i="1"/>
  <c r="J631" i="1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H672" i="1" l="1"/>
  <c r="C6" i="10" s="1"/>
  <c r="G637" i="1"/>
  <c r="J637" i="1" s="1"/>
  <c r="H646" i="1"/>
  <c r="J646" i="1" s="1"/>
  <c r="C145" i="2"/>
  <c r="D23" i="10"/>
  <c r="D10" i="10"/>
  <c r="D24" i="10"/>
  <c r="D27" i="10"/>
  <c r="D26" i="10"/>
  <c r="D16" i="10"/>
  <c r="D17" i="10"/>
  <c r="C30" i="10"/>
  <c r="D18" i="10"/>
  <c r="D12" i="10"/>
  <c r="D20" i="10"/>
  <c r="D15" i="10"/>
  <c r="D25" i="10"/>
  <c r="D19" i="10"/>
  <c r="D13" i="10"/>
  <c r="D11" i="10"/>
  <c r="D21" i="10"/>
  <c r="F667" i="1"/>
  <c r="I660" i="1"/>
  <c r="I664" i="1" s="1"/>
  <c r="I672" i="1" s="1"/>
  <c r="C7" i="10" s="1"/>
  <c r="G672" i="1"/>
  <c r="C5" i="10" s="1"/>
  <c r="G667" i="1"/>
  <c r="C41" i="10"/>
  <c r="D38" i="10" s="1"/>
  <c r="H656" i="1" l="1"/>
  <c r="D28" i="10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<sst xmlns="http://schemas.openxmlformats.org/spreadsheetml/2006/main" count="3958" uniqueCount="916">
  <si>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</si>
  <si>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</si>
  <si>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</si>
  <si>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</si>
  <si>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</si>
  <si>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</si>
  <si>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</si>
  <si>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</si>
  <si>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</si>
  <si>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</si>
  <si>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</si>
  <si>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</si>
  <si>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</si>
  <si>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</si>
  <si>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</si>
  <si>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</si>
  <si>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</si>
  <si>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</si>
  <si>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</si>
  <si>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</si>
  <si>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</si>
  <si>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</si>
  <si>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</si>
  <si>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</si>
  <si>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</si>
  <si>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</si>
  <si>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</si>
  <si>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</si>
  <si>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</si>
  <si>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</si>
  <si>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</si>
  <si>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</si>
  <si>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</si>
  <si>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</si>
  <si>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</si>
  <si>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</si>
  <si>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</si>
  <si>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</si>
  <si>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</si>
  <si>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</si>
  <si>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</si>
  <si>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</si>
  <si>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</si>
  <si>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</si>
  <si>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</si>
  <si>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</si>
  <si>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</si>
  <si>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</si>
  <si>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</si>
  <si>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</si>
  <si>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</si>
  <si>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</si>
  <si>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</si>
  <si>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</si>
  <si>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</si>
  <si>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</si>
  <si>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</si>
  <si>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</si>
  <si>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</si>
  <si>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</si>
  <si>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</si>
  <si>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</si>
  <si>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</si>
  <si>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</si>
  <si>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</si>
  <si>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</si>
  <si>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</si>
  <si>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</si>
  <si>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</si>
  <si>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</si>
  <si>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</si>
  <si>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</si>
  <si>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</si>
  <si>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</si>
  <si>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</si>
  <si>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</si>
  <si>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</si>
  <si>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</si>
  <si>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</si>
  <si>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</si>
  <si>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</si>
  <si>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</si>
  <si>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</si>
  <si>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</si>
  <si>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</si>
  <si>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</si>
  <si>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</si>
  <si>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</si>
  <si>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</si>
  <si>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</si>
  <si>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</si>
  <si>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</si>
  <si>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</si>
  <si>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</si>
  <si>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</si>
  <si>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</si>
  <si>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</si>
  <si>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</si>
  <si>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</si>
  <si>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</si>
  <si>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</si>
  <si>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</si>
  <si>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</si>
  <si>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</si>
  <si>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</si>
  <si>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</si>
  <si>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</si>
  <si>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</si>
  <si>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</si>
  <si>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</si>
  <si>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</si>
  <si>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</si>
  <si>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</si>
  <si>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</si>
  <si>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</si>
  <si>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</si>
  <si>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</si>
  <si>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</si>
  <si>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</si>
  <si>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</si>
  <si>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</si>
  <si>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</si>
  <si>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</si>
  <si>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</si>
  <si>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</si>
  <si>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</si>
  <si>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</si>
  <si>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</si>
  <si>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</si>
  <si>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</si>
  <si>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</si>
  <si>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</si>
  <si>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</si>
  <si>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</si>
  <si>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</si>
  <si>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</si>
  <si>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</si>
  <si>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</si>
  <si>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</si>
  <si>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</si>
  <si>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</si>
  <si>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</si>
  <si>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</si>
  <si>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</si>
  <si>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</si>
  <si>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</si>
  <si>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</si>
  <si>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</si>
  <si>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</si>
  <si>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</si>
  <si>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</si>
  <si>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</si>
  <si>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</si>
  <si>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</si>
  <si>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</si>
  <si>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</si>
  <si>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</si>
  <si>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</si>
  <si>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</si>
  <si>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</si>
  <si>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</si>
  <si>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</si>
  <si>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</si>
  <si>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</si>
  <si>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</si>
  <si>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</si>
  <si>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</si>
  <si>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</si>
  <si>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</si>
  <si>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</si>
  <si>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</si>
  <si>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</si>
  <si>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</si>
  <si>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</si>
  <si>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</si>
  <si>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</si>
  <si>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</si>
  <si>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</si>
  <si>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</si>
  <si>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</si>
  <si>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</si>
  <si>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</si>
  <si>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</si>
  <si>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</si>
  <si>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</si>
  <si>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</si>
  <si>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</si>
  <si>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</si>
  <si>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</si>
  <si>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</si>
  <si>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</si>
  <si>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</si>
  <si>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</si>
  <si>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</si>
  <si>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</si>
  <si>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</si>
  <si>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</si>
  <si>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</si>
  <si>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</si>
  <si>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</si>
  <si>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</si>
  <si>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</si>
  <si>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</si>
  <si>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</si>
  <si>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</si>
  <si>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</si>
  <si>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</si>
  <si>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</si>
  <si>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</si>
  <si>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</si>
  <si>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</si>
  <si>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</si>
  <si>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</si>
  <si>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</si>
  <si>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</si>
  <si>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</si>
  <si>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</si>
  <si>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</si>
  <si>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</si>
  <si>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</si>
  <si>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</si>
  <si>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</si>
  <si>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</si>
  <si>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</si>
  <si>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</si>
  <si>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</si>
  <si>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</si>
  <si>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</si>
  <si>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</si>
  <si>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</si>
  <si>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</si>
  <si>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</si>
  <si>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</si>
  <si>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</si>
  <si>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</si>
  <si>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</si>
  <si>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</si>
  <si>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</si>
  <si>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</si>
  <si>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</si>
  <si>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</si>
  <si>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</si>
  <si>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</si>
  <si>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</si>
  <si>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</si>
  <si>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</si>
  <si>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</si>
  <si>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</si>
  <si>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</si>
  <si>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</si>
  <si>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</si>
  <si>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</si>
  <si>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</si>
  <si>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</si>
  <si>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</si>
  <si>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</si>
  <si>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</si>
  <si>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</si>
  <si>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</si>
  <si>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</si>
  <si>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</si>
  <si>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</si>
  <si>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</si>
  <si>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</si>
  <si>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</si>
  <si>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</si>
  <si>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</si>
  <si>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</si>
  <si>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</si>
  <si>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</si>
  <si>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</si>
  <si>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</si>
  <si>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</si>
  <si>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</si>
  <si>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</si>
  <si>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</si>
  <si>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</si>
  <si>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</si>
  <si>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</si>
  <si>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</si>
  <si>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</si>
  <si>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</si>
  <si>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</si>
  <si>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</si>
  <si>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</si>
  <si>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</si>
  <si>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</si>
  <si>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</si>
  <si>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</si>
  <si>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</si>
  <si>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</si>
  <si>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</si>
  <si>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</si>
  <si>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</si>
  <si>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</si>
  <si>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</si>
  <si>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</si>
  <si>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</si>
  <si>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</si>
  <si>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</si>
  <si>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</si>
  <si>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</si>
  <si>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</si>
  <si>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</si>
  <si>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</si>
  <si>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</si>
  <si>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</si>
  <si>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</si>
  <si>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</si>
  <si>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</si>
  <si>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</si>
  <si>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</si>
  <si>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</si>
  <si>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</si>
  <si>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</si>
  <si>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</si>
  <si>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</si>
  <si>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</si>
  <si>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</si>
  <si>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</si>
  <si>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</si>
  <si>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</si>
  <si>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</si>
  <si>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</si>
  <si>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</si>
  <si>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</si>
  <si>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</si>
  <si>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</si>
  <si>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</si>
  <si>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</si>
  <si>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</si>
  <si>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</si>
  <si>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</si>
  <si>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</si>
  <si>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</si>
  <si>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</si>
  <si>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</si>
  <si>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</si>
  <si>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</si>
  <si>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</si>
  <si>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</si>
  <si>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</si>
  <si>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</si>
  <si>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</si>
  <si>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</si>
  <si>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</si>
  <si>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</si>
  <si>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</si>
  <si>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</si>
  <si>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</si>
  <si>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</si>
  <si>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</si>
  <si>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</si>
  <si>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</si>
  <si>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</si>
  <si>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</si>
  <si>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</si>
  <si>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</si>
  <si>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</si>
  <si>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</si>
  <si>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</si>
  <si>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</si>
  <si>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</si>
  <si>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</si>
  <si>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</si>
  <si>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</si>
  <si>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</si>
  <si>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</si>
  <si>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</si>
  <si>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</si>
  <si>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</si>
  <si>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</si>
  <si>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</si>
  <si>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</si>
  <si>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</si>
  <si>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</si>
  <si>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</si>
  <si>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</si>
  <si>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</si>
  <si>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</si>
  <si>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</si>
  <si>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</si>
  <si>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</si>
  <si>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</si>
  <si>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</si>
  <si>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</si>
  <si>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</si>
  <si>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</si>
  <si>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</si>
  <si>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</si>
  <si>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</si>
  <si>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</si>
  <si>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</si>
  <si>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</si>
  <si>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</si>
  <si>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</si>
  <si>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</si>
  <si>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</si>
  <si>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</si>
  <si>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</si>
  <si>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</si>
  <si>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</si>
  <si>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</si>
  <si>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</si>
  <si>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</si>
  <si>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</si>
  <si>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</si>
  <si>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</si>
  <si>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</si>
  <si>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</si>
  <si>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</si>
  <si>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</si>
  <si>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</si>
  <si>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</si>
  <si>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</si>
  <si>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</si>
  <si>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</si>
  <si>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</si>
  <si>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</si>
  <si>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</si>
  <si>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</si>
  <si>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</si>
  <si>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</si>
  <si>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</si>
  <si>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</si>
  <si>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</si>
  <si>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</si>
  <si>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</si>
  <si>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</si>
  <si>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</si>
  <si>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</si>
  <si>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</si>
  <si>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</si>
  <si>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</si>
  <si>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</si>
  <si>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</si>
  <si>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</si>
  <si>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</si>
  <si>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</si>
  <si>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</si>
  <si>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</si>
  <si>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</si>
  <si>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</si>
  <si>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</si>
  <si>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</si>
  <si>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</si>
  <si>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</si>
  <si>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</si>
  <si>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</si>
  <si>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</si>
  <si>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</si>
  <si>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</si>
  <si>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</si>
  <si>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</si>
  <si>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</si>
  <si>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</si>
  <si>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</si>
  <si>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</si>
  <si>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</si>
  <si>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</si>
  <si>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</si>
  <si>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</si>
  <si>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</si>
  <si>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</si>
  <si>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</si>
  <si>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</si>
  <si>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</si>
  <si>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</si>
  <si>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</si>
  <si>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</si>
  <si>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</si>
  <si>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</si>
  <si>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</si>
  <si>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</si>
  <si>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</si>
  <si>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</si>
  <si>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</si>
  <si>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</si>
  <si>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</si>
  <si>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</si>
  <si>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</si>
  <si>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</si>
  <si>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</si>
  <si>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</si>
  <si>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</si>
  <si>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</si>
  <si>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</si>
  <si>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</si>
  <si>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</si>
  <si>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</si>
  <si>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</si>
  <si>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</si>
  <si>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</si>
  <si>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</si>
  <si>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</si>
  <si>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</si>
  <si>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</si>
  <si>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</si>
  <si>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</si>
  <si>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</si>
  <si>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</si>
  <si>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</si>
  <si>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</si>
  <si>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</si>
  <si>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</si>
  <si>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</si>
  <si>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</si>
  <si>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</si>
  <si>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</si>
  <si>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</si>
  <si>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</si>
  <si>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</si>
  <si>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</si>
  <si>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</si>
  <si>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</si>
  <si>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</si>
  <si>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</si>
  <si>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</si>
  <si>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</si>
  <si>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</si>
  <si>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</si>
  <si>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</si>
  <si>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</si>
  <si>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</si>
  <si>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</si>
  <si>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</si>
  <si>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</si>
  <si>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</si>
  <si>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</si>
  <si>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</si>
  <si>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</si>
  <si>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</si>
  <si>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</si>
  <si>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</si>
  <si>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</si>
  <si>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</si>
  <si>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</si>
  <si>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</si>
  <si>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</si>
  <si>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</si>
  <si>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</si>
  <si>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</si>
  <si>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</si>
  <si>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</si>
  <si>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</si>
  <si>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</si>
  <si>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</si>
  <si>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</si>
  <si>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</si>
  <si>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</si>
  <si>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</si>
  <si>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</si>
  <si>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</si>
  <si>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</si>
  <si>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</si>
  <si>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</si>
  <si>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</si>
  <si>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</si>
  <si>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</si>
  <si>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</si>
  <si>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</si>
  <si>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</si>
  <si>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</si>
  <si>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</si>
  <si>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</si>
  <si>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</si>
  <si>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</si>
  <si>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</si>
  <si>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</si>
  <si>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</si>
  <si>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</si>
  <si>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</si>
  <si>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</si>
  <si>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</si>
  <si>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</si>
  <si>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</si>
  <si>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</si>
  <si>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</si>
  <si>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</si>
  <si>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</si>
  <si>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</si>
  <si>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</si>
  <si>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</si>
  <si>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</si>
  <si>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</si>
  <si>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</si>
  <si>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</si>
  <si>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</si>
  <si>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</si>
  <si>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</si>
  <si>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</si>
  <si>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</si>
  <si>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</si>
  <si>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</si>
  <si>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</si>
  <si>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</si>
  <si>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</si>
  <si>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</si>
  <si>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</si>
  <si>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</si>
  <si>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</si>
  <si>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</si>
  <si>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</si>
  <si>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</si>
  <si>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</si>
  <si>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</si>
  <si>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</si>
  <si>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</si>
  <si>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</si>
  <si>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</si>
  <si>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</si>
  <si>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</si>
  <si>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</si>
  <si>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</si>
  <si>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</si>
  <si>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</si>
  <si>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</si>
  <si>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</si>
  <si>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</si>
  <si>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</si>
  <si>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</si>
  <si>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</si>
  <si>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</si>
  <si>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</si>
  <si>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</si>
  <si>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</si>
  <si>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</si>
  <si>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</si>
  <si>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</si>
  <si>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</si>
  <si>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</si>
  <si>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</si>
  <si>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</si>
  <si>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</si>
  <si>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</si>
  <si>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</si>
  <si>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</si>
  <si>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</si>
  <si>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</si>
  <si>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</si>
  <si>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</si>
  <si>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</si>
  <si>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</si>
  <si>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</si>
  <si>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</si>
  <si>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</si>
  <si>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</si>
  <si>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</si>
  <si>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</si>
  <si>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</si>
  <si>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</si>
  <si>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</si>
  <si>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</si>
  <si>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</si>
  <si>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</si>
  <si>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</si>
  <si>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</si>
  <si>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</si>
  <si>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</si>
  <si>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</si>
  <si>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</si>
  <si>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</si>
  <si>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</si>
  <si>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</si>
  <si>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</si>
  <si>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</si>
  <si>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</si>
  <si>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</si>
  <si>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</si>
  <si>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</si>
  <si>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</si>
  <si>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</si>
  <si>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</si>
  <si>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</si>
  <si>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</si>
  <si>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</si>
  <si>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</si>
  <si>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</si>
  <si>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</si>
  <si>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</si>
  <si>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</si>
  <si>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</si>
  <si>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</si>
  <si>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</si>
  <si>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</si>
  <si>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</si>
  <si>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</si>
  <si>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</si>
  <si>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</si>
  <si>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</si>
  <si>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</si>
  <si>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</si>
  <si>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</si>
  <si>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</si>
  <si>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</si>
  <si>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</si>
  <si>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</si>
  <si>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</si>
  <si>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</si>
  <si>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</si>
  <si>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</si>
  <si>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</si>
  <si>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</si>
  <si>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</si>
  <si>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</si>
  <si>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</si>
  <si>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</si>
  <si>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</si>
  <si>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</si>
  <si>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</si>
  <si>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</si>
  <si>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</si>
  <si>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</si>
  <si>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</si>
  <si>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</si>
  <si>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</si>
  <si>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</si>
  <si>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</si>
  <si>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</si>
  <si>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</si>
  <si>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</si>
  <si>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</si>
  <si>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</si>
  <si>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</si>
  <si>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</si>
  <si>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</si>
  <si>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</si>
  <si>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</si>
  <si>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</si>
  <si>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</si>
  <si>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</si>
  <si>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</si>
  <si>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</si>
  <si>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</si>
  <si>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</si>
  <si>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</si>
  <si>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</si>
  <si>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</si>
  <si>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</si>
  <si>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</si>
  <si>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</si>
  <si>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</si>
  <si>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</si>
  <si>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</si>
  <si>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</si>
  <si>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</si>
  <si>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</si>
  <si>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</si>
  <si>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</si>
  <si>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</si>
  <si>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</si>
  <si>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</si>
  <si>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</si>
  <si>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</si>
  <si>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</si>
  <si>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</si>
  <si>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</si>
  <si>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</si>
  <si>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</si>
  <si>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</si>
  <si>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</si>
  <si>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</si>
  <si>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</si>
  <si>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</si>
  <si>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</si>
  <si>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</si>
  <si>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</si>
  <si>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</si>
  <si>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</si>
  <si>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</si>
  <si>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</si>
  <si>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</si>
  <si>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</si>
  <si>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</si>
  <si>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</si>
  <si>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</si>
  <si>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</si>
  <si>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</si>
  <si>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</si>
  <si>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</si>
  <si>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</si>
  <si>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</si>
  <si>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</si>
  <si>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</si>
  <si>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</si>
  <si>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</si>
  <si>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</si>
  <si>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</si>
  <si>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</si>
  <si>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</si>
  <si>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</si>
  <si>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</si>
  <si>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</si>
  <si>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</si>
  <si>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</si>
  <si>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</si>
  <si>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</si>
  <si>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</si>
  <si>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</si>
  <si>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</si>
  <si>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</si>
  <si>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</si>
  <si>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</si>
  <si>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</si>
  <si>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</si>
  <si>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</si>
  <si>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</si>
  <si>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</si>
  <si>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</si>
  <si>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</si>
  <si>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</si>
  <si>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</si>
  <si>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</si>
  <si>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</si>
  <si>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</si>
  <si>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</si>
  <si>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</si>
  <si>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</si>
  <si>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</si>
  <si>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</si>
  <si>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</si>
  <si>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</si>
  <si>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</si>
  <si>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</si>
  <si>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</si>
  <si>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</si>
  <si>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</si>
  <si>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</si>
  <si>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</si>
  <si>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</si>
  <si>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</si>
  <si>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</si>
  <si>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</si>
  <si>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</si>
  <si>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</si>
  <si>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</si>
  <si>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</si>
  <si>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</si>
  <si>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</si>
  <si>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</si>
  <si>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</si>
  <si>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</si>
  <si>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</si>
  <si>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</si>
  <si>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</si>
  <si>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</si>
  <si>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</si>
  <si>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</si>
  <si>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</si>
  <si>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</si>
  <si>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</si>
  <si>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</si>
  <si>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</si>
  <si>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</si>
  <si>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</si>
  <si>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</si>
  <si>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</si>
  <si>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</si>
  <si>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</si>
  <si>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</si>
  <si>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</si>
  <si>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</si>
  <si>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</si>
  <si>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</si>
  <si>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</si>
  <si>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</si>
  <si>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</si>
  <si>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</si>
  <si>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</si>
  <si>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</si>
  <si>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</si>
  <si>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</si>
  <si>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</si>
  <si>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</si>
  <si>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</si>
  <si>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</si>
  <si>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</si>
  <si>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</si>
  <si>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</si>
  <si>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</si>
  <si>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</si>
  <si>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</si>
  <si>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</si>
  <si>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</si>
  <si>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</si>
  <si>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</si>
  <si>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</si>
  <si>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</si>
  <si>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</si>
  <si>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</si>
  <si>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</si>
  <si>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</si>
  <si>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</si>
  <si>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</si>
  <si>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</si>
  <si>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</si>
  <si>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</si>
  <si>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</si>
  <si>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</si>
  <si>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</si>
  <si>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</si>
  <si>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</si>
  <si>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</si>
  <si>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</si>
  <si>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</si>
  <si>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</si>
  <si>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</si>
  <si>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</si>
  <si>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</si>
  <si>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</si>
  <si>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</si>
  <si>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</si>
  <si>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Northwood School District</t>
  </si>
  <si>
    <t>This is mostly due to the HealthTrust Refund</t>
  </si>
  <si>
    <t>08/01</t>
  </si>
  <si>
    <t>08/16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</si>
</sst>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zoomScale="75" workbookViewId="0">
      <pane xSplit="5" ySplit="3" topLeftCell="F197" activePane="bottomRight" state="frozen"/>
      <selection pane="topRight" activeCell="F1" sqref="F1"/>
      <selection pane="bottomLeft" activeCell="A4" sqref="A4"/>
      <selection pane="bottomRight" activeCell="F666" sqref="F66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411</v>
      </c>
      <c r="C2" s="21">
        <v>411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1142433.1299999999</v>
      </c>
      <c r="G9" s="18">
        <v>0</v>
      </c>
      <c r="H9" s="18"/>
      <c r="I9" s="18"/>
      <c r="J9" s="67">
        <f>SUM(I439)</f>
        <v>273587.56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4800.1400000000003</v>
      </c>
      <c r="G13" s="18">
        <v>10105.870000000001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f>2600.36+244.44</f>
        <v>2844.8</v>
      </c>
      <c r="G14" s="18">
        <v>2519.86</v>
      </c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4790.37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1150078.0699999998</v>
      </c>
      <c r="G19" s="41">
        <f>SUM(G9:G18)</f>
        <v>17416.100000000002</v>
      </c>
      <c r="H19" s="41">
        <f>SUM(H9:H18)</f>
        <v>0</v>
      </c>
      <c r="I19" s="41">
        <f>SUM(I9:I18)</f>
        <v>0</v>
      </c>
      <c r="J19" s="41">
        <f>SUM(J9:J18)</f>
        <v>273587.56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f>46017.62-25269.33+7188.78-5631.52</f>
        <v>22305.55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213649.39+2815.76</f>
        <v>216465.15000000002</v>
      </c>
      <c r="G24" s="18">
        <v>12625.73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238770.7</v>
      </c>
      <c r="G32" s="41">
        <f>SUM(G22:G31)</f>
        <v>12625.73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>
        <v>4790.37</v>
      </c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90000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215616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273587.56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605691.37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911307.37</v>
      </c>
      <c r="G51" s="41">
        <f>SUM(G35:G50)</f>
        <v>4790.37</v>
      </c>
      <c r="H51" s="41">
        <f>SUM(H35:H50)</f>
        <v>0</v>
      </c>
      <c r="I51" s="41">
        <f>SUM(I35:I50)</f>
        <v>0</v>
      </c>
      <c r="J51" s="41">
        <f>SUM(J35:J50)</f>
        <v>273587.56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1150078.07</v>
      </c>
      <c r="G52" s="41">
        <f>G51+G32</f>
        <v>17416.099999999999</v>
      </c>
      <c r="H52" s="41">
        <f>H51+H32</f>
        <v>0</v>
      </c>
      <c r="I52" s="41">
        <f>I51+I32</f>
        <v>0</v>
      </c>
      <c r="J52" s="41">
        <f>J51+J32</f>
        <v>273587.56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7500270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7500270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1402.15</v>
      </c>
      <c r="G96" s="18"/>
      <c r="H96" s="18"/>
      <c r="I96" s="18"/>
      <c r="J96" s="18">
        <v>814.07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59882.8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23718.47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89302.77</v>
      </c>
      <c r="G110" s="18"/>
      <c r="H110" s="18"/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114423.39000000001</v>
      </c>
      <c r="G111" s="41">
        <f>SUM(G96:G110)</f>
        <v>59882.8</v>
      </c>
      <c r="H111" s="41">
        <f>SUM(H96:H110)</f>
        <v>0</v>
      </c>
      <c r="I111" s="41">
        <f>SUM(I96:I110)</f>
        <v>0</v>
      </c>
      <c r="J111" s="41">
        <f>SUM(J96:J110)</f>
        <v>814.07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7614693.3899999997</v>
      </c>
      <c r="G112" s="41">
        <f>G60+G111</f>
        <v>59882.8</v>
      </c>
      <c r="H112" s="41">
        <f>H60+H79+H94+H111</f>
        <v>0</v>
      </c>
      <c r="I112" s="41">
        <f>I60+I111</f>
        <v>0</v>
      </c>
      <c r="J112" s="41">
        <f>J60+J111</f>
        <v>814.07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2364909.5699999998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1124383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3489292.57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87814.3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200818.5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2137.5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288632.8</v>
      </c>
      <c r="G136" s="41">
        <f>SUM(G123:G135)</f>
        <v>2137.5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3777925.3699999996</v>
      </c>
      <c r="G140" s="41">
        <f>G121+SUM(G136:G137)</f>
        <v>2137.5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58417.04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129884.34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129884.34</v>
      </c>
      <c r="G162" s="41">
        <f>SUM(G150:G161)</f>
        <v>58417.04</v>
      </c>
      <c r="H162" s="41">
        <f>SUM(H150:H161)</f>
        <v>0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129884.34</v>
      </c>
      <c r="G169" s="41">
        <f>G147+G162+SUM(G163:G168)</f>
        <v>58417.04</v>
      </c>
      <c r="H169" s="41">
        <f>H147+H162+SUM(H163:H168)</f>
        <v>0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35350.1</v>
      </c>
      <c r="H179" s="18"/>
      <c r="I179" s="18"/>
      <c r="J179" s="18">
        <v>121000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35350.1</v>
      </c>
      <c r="H183" s="41">
        <f>SUM(H179:H182)</f>
        <v>0</v>
      </c>
      <c r="I183" s="41">
        <f>SUM(I179:I182)</f>
        <v>0</v>
      </c>
      <c r="J183" s="41">
        <f>SUM(J179:J182)</f>
        <v>121000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35350.1</v>
      </c>
      <c r="H192" s="41">
        <f>+H183+SUM(H188:H191)</f>
        <v>0</v>
      </c>
      <c r="I192" s="41">
        <f>I177+I183+SUM(I188:I191)</f>
        <v>0</v>
      </c>
      <c r="J192" s="41">
        <f>J183</f>
        <v>121000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11522503.1</v>
      </c>
      <c r="G193" s="47">
        <f>G112+G140+G169+G192</f>
        <v>155787.44</v>
      </c>
      <c r="H193" s="47">
        <f>H112+H140+H169+H192</f>
        <v>0</v>
      </c>
      <c r="I193" s="47">
        <f>I112+I140+I169+I192</f>
        <v>0</v>
      </c>
      <c r="J193" s="47">
        <f>J112+J140+J192</f>
        <v>121814.07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1427964.23-1148.27</f>
        <v>1426815.96</v>
      </c>
      <c r="G197" s="18">
        <v>808509.89</v>
      </c>
      <c r="H197" s="18">
        <v>8449.84</v>
      </c>
      <c r="I197" s="18">
        <v>150033.23000000001</v>
      </c>
      <c r="J197" s="18">
        <v>11973.78</v>
      </c>
      <c r="K197" s="18">
        <v>0</v>
      </c>
      <c r="L197" s="19">
        <f>SUM(F197:K197)</f>
        <v>2405782.6999999997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740173.06</v>
      </c>
      <c r="G198" s="18">
        <v>371264.47</v>
      </c>
      <c r="H198" s="18">
        <v>594276.51</v>
      </c>
      <c r="I198" s="18">
        <v>21086.98</v>
      </c>
      <c r="J198" s="18">
        <v>6113.07</v>
      </c>
      <c r="K198" s="18">
        <v>11881.26</v>
      </c>
      <c r="L198" s="19">
        <f>SUM(F198:K198)</f>
        <v>1744795.35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40410</v>
      </c>
      <c r="G200" s="18">
        <v>6267.78</v>
      </c>
      <c r="H200" s="18">
        <v>13305</v>
      </c>
      <c r="I200" s="18">
        <v>5778.91</v>
      </c>
      <c r="J200" s="18">
        <v>580</v>
      </c>
      <c r="K200" s="18">
        <v>200</v>
      </c>
      <c r="L200" s="19">
        <f>SUM(F200:K200)</f>
        <v>66541.69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156820.42000000001</v>
      </c>
      <c r="G202" s="18">
        <v>95020.9</v>
      </c>
      <c r="H202" s="18">
        <v>87319.08</v>
      </c>
      <c r="I202" s="18">
        <v>1238.8699999999999</v>
      </c>
      <c r="J202" s="18">
        <v>591.99</v>
      </c>
      <c r="K202" s="18">
        <v>314</v>
      </c>
      <c r="L202" s="19">
        <f t="shared" ref="L202:L208" si="0">SUM(F202:K202)</f>
        <v>341305.26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143735.60999999999</v>
      </c>
      <c r="G203" s="18">
        <v>90873.93</v>
      </c>
      <c r="H203" s="18">
        <v>35262.230000000003</v>
      </c>
      <c r="I203" s="18">
        <v>41028.29</v>
      </c>
      <c r="J203" s="18">
        <v>108129.77</v>
      </c>
      <c r="K203" s="18">
        <v>160</v>
      </c>
      <c r="L203" s="19">
        <f t="shared" si="0"/>
        <v>419189.82999999996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8738.73</v>
      </c>
      <c r="G204" s="18">
        <v>849.32</v>
      </c>
      <c r="H204" s="18">
        <v>262064.54</v>
      </c>
      <c r="I204" s="18">
        <v>116.25</v>
      </c>
      <c r="J204" s="18">
        <v>0</v>
      </c>
      <c r="K204" s="18">
        <v>4580.46</v>
      </c>
      <c r="L204" s="19">
        <f t="shared" si="0"/>
        <v>276349.30000000005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230218.4</v>
      </c>
      <c r="G205" s="18">
        <v>126236.14</v>
      </c>
      <c r="H205" s="18">
        <v>18097.25</v>
      </c>
      <c r="I205" s="18">
        <v>2286.71</v>
      </c>
      <c r="J205" s="18">
        <v>809.98</v>
      </c>
      <c r="K205" s="18">
        <v>5358.97</v>
      </c>
      <c r="L205" s="19">
        <f t="shared" si="0"/>
        <v>383007.44999999995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139590.93</v>
      </c>
      <c r="G207" s="18">
        <v>63234.38</v>
      </c>
      <c r="H207" s="18">
        <v>103349.73</v>
      </c>
      <c r="I207" s="18">
        <v>129981.78</v>
      </c>
      <c r="J207" s="18">
        <v>10685.3</v>
      </c>
      <c r="K207" s="18">
        <v>0</v>
      </c>
      <c r="L207" s="19">
        <f t="shared" si="0"/>
        <v>446842.11999999994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5257.98</v>
      </c>
      <c r="G208" s="18">
        <v>388.33</v>
      </c>
      <c r="H208" s="18">
        <v>453350.77</v>
      </c>
      <c r="I208" s="18">
        <v>0</v>
      </c>
      <c r="J208" s="18">
        <v>0</v>
      </c>
      <c r="K208" s="18">
        <v>0</v>
      </c>
      <c r="L208" s="19">
        <f t="shared" si="0"/>
        <v>458997.08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>
        <v>0</v>
      </c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2891761.09</v>
      </c>
      <c r="G211" s="41">
        <f t="shared" si="1"/>
        <v>1562645.1399999997</v>
      </c>
      <c r="H211" s="41">
        <f t="shared" si="1"/>
        <v>1575474.95</v>
      </c>
      <c r="I211" s="41">
        <f t="shared" si="1"/>
        <v>351551.02</v>
      </c>
      <c r="J211" s="41">
        <f t="shared" si="1"/>
        <v>138883.88999999998</v>
      </c>
      <c r="K211" s="41">
        <f t="shared" si="1"/>
        <v>22494.690000000002</v>
      </c>
      <c r="L211" s="41">
        <f t="shared" si="1"/>
        <v>6542810.7800000003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0</v>
      </c>
      <c r="G233" s="18">
        <v>0</v>
      </c>
      <c r="H233" s="18">
        <f>3479181.98-1500</f>
        <v>3477681.98</v>
      </c>
      <c r="I233" s="18">
        <v>0</v>
      </c>
      <c r="J233" s="18">
        <v>0</v>
      </c>
      <c r="K233" s="18">
        <v>0</v>
      </c>
      <c r="L233" s="19">
        <f>SUM(F233:K233)</f>
        <v>3477681.98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0</v>
      </c>
      <c r="G234" s="18">
        <v>0</v>
      </c>
      <c r="H234" s="18">
        <f>759302.15+26362.5</f>
        <v>785664.65</v>
      </c>
      <c r="I234" s="18">
        <v>0</v>
      </c>
      <c r="J234" s="18">
        <v>0</v>
      </c>
      <c r="K234" s="18">
        <v>0</v>
      </c>
      <c r="L234" s="19">
        <f>SUM(F234:K234)</f>
        <v>785664.65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0</v>
      </c>
      <c r="G235" s="18">
        <v>0</v>
      </c>
      <c r="H235" s="18">
        <v>0</v>
      </c>
      <c r="I235" s="18">
        <v>0</v>
      </c>
      <c r="J235" s="18">
        <v>0</v>
      </c>
      <c r="K235" s="18">
        <v>0</v>
      </c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0</v>
      </c>
      <c r="G238" s="18">
        <v>0</v>
      </c>
      <c r="H238" s="18">
        <v>0</v>
      </c>
      <c r="I238" s="18">
        <v>0</v>
      </c>
      <c r="J238" s="18">
        <v>0</v>
      </c>
      <c r="K238" s="18">
        <v>0</v>
      </c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0</v>
      </c>
      <c r="G239" s="18">
        <v>0</v>
      </c>
      <c r="H239" s="18">
        <v>0</v>
      </c>
      <c r="I239" s="18">
        <v>0</v>
      </c>
      <c r="J239" s="18">
        <v>0</v>
      </c>
      <c r="K239" s="18">
        <v>0</v>
      </c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5132.2700000000004</v>
      </c>
      <c r="G240" s="18">
        <v>498.81</v>
      </c>
      <c r="H240" s="18">
        <v>153910.92000000001</v>
      </c>
      <c r="I240" s="18">
        <v>68.28</v>
      </c>
      <c r="J240" s="18">
        <v>0</v>
      </c>
      <c r="K240" s="18">
        <v>2690.11</v>
      </c>
      <c r="L240" s="19">
        <f t="shared" si="4"/>
        <v>162300.38999999998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0</v>
      </c>
      <c r="G241" s="18">
        <v>0</v>
      </c>
      <c r="H241" s="18">
        <v>0</v>
      </c>
      <c r="I241" s="18">
        <v>0</v>
      </c>
      <c r="J241" s="18">
        <v>0</v>
      </c>
      <c r="K241" s="18">
        <v>0</v>
      </c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0</v>
      </c>
      <c r="G243" s="18">
        <v>0</v>
      </c>
      <c r="H243" s="18">
        <v>0</v>
      </c>
      <c r="I243" s="18">
        <v>0</v>
      </c>
      <c r="J243" s="18">
        <v>0</v>
      </c>
      <c r="K243" s="18">
        <v>0</v>
      </c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176717.33</v>
      </c>
      <c r="I244" s="18">
        <v>0</v>
      </c>
      <c r="J244" s="18">
        <v>0</v>
      </c>
      <c r="K244" s="18">
        <v>0</v>
      </c>
      <c r="L244" s="19">
        <f t="shared" si="4"/>
        <v>176717.33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0</v>
      </c>
      <c r="I245" s="18">
        <v>0</v>
      </c>
      <c r="J245" s="18">
        <v>0</v>
      </c>
      <c r="K245" s="18">
        <v>0</v>
      </c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5132.2700000000004</v>
      </c>
      <c r="G247" s="41">
        <f t="shared" si="5"/>
        <v>498.81</v>
      </c>
      <c r="H247" s="41">
        <f t="shared" si="5"/>
        <v>4593974.88</v>
      </c>
      <c r="I247" s="41">
        <f t="shared" si="5"/>
        <v>68.28</v>
      </c>
      <c r="J247" s="41">
        <f t="shared" si="5"/>
        <v>0</v>
      </c>
      <c r="K247" s="41">
        <f t="shared" si="5"/>
        <v>2690.11</v>
      </c>
      <c r="L247" s="41">
        <f t="shared" si="5"/>
        <v>4602364.3499999996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2896893.36</v>
      </c>
      <c r="G257" s="41">
        <f t="shared" si="8"/>
        <v>1563143.9499999997</v>
      </c>
      <c r="H257" s="41">
        <f t="shared" si="8"/>
        <v>6169449.8300000001</v>
      </c>
      <c r="I257" s="41">
        <f t="shared" si="8"/>
        <v>351619.30000000005</v>
      </c>
      <c r="J257" s="41">
        <f t="shared" si="8"/>
        <v>138883.88999999998</v>
      </c>
      <c r="K257" s="41">
        <f t="shared" si="8"/>
        <v>25184.800000000003</v>
      </c>
      <c r="L257" s="41">
        <f t="shared" si="8"/>
        <v>11145175.129999999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290000</v>
      </c>
      <c r="L260" s="19">
        <f>SUM(F260:K260)</f>
        <v>290000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8471.5</v>
      </c>
      <c r="L261" s="19">
        <f>SUM(F261:K261)</f>
        <v>8471.5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35350.1</v>
      </c>
      <c r="L263" s="19">
        <f>SUM(F263:K263)</f>
        <v>35350.1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121000</v>
      </c>
      <c r="L266" s="19">
        <f t="shared" si="9"/>
        <v>121000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1500</v>
      </c>
      <c r="L268" s="19">
        <f t="shared" si="9"/>
        <v>1500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456321.6</v>
      </c>
      <c r="L270" s="41">
        <f t="shared" si="9"/>
        <v>456321.6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2896893.36</v>
      </c>
      <c r="G271" s="42">
        <f t="shared" si="11"/>
        <v>1563143.9499999997</v>
      </c>
      <c r="H271" s="42">
        <f t="shared" si="11"/>
        <v>6169449.8300000001</v>
      </c>
      <c r="I271" s="42">
        <f t="shared" si="11"/>
        <v>351619.30000000005</v>
      </c>
      <c r="J271" s="42">
        <f t="shared" si="11"/>
        <v>138883.88999999998</v>
      </c>
      <c r="K271" s="42">
        <f t="shared" si="11"/>
        <v>481506.39999999997</v>
      </c>
      <c r="L271" s="42">
        <f t="shared" si="11"/>
        <v>11601496.729999999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90016.62</v>
      </c>
      <c r="G358" s="18">
        <v>18830.099999999999</v>
      </c>
      <c r="H358" s="18">
        <v>447.71</v>
      </c>
      <c r="I358" s="18">
        <v>43849.2</v>
      </c>
      <c r="J358" s="18">
        <v>788.57</v>
      </c>
      <c r="K358" s="18">
        <v>0</v>
      </c>
      <c r="L358" s="13">
        <f>SUM(F358:K358)</f>
        <v>153932.20000000001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0</v>
      </c>
      <c r="I359" s="18">
        <v>0</v>
      </c>
      <c r="J359" s="18">
        <v>0</v>
      </c>
      <c r="K359" s="18">
        <v>0</v>
      </c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0</v>
      </c>
      <c r="I360" s="18">
        <v>0</v>
      </c>
      <c r="J360" s="18">
        <v>0</v>
      </c>
      <c r="K360" s="18">
        <v>0</v>
      </c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90016.62</v>
      </c>
      <c r="G362" s="47">
        <f t="shared" si="22"/>
        <v>18830.099999999999</v>
      </c>
      <c r="H362" s="47">
        <f t="shared" si="22"/>
        <v>447.71</v>
      </c>
      <c r="I362" s="47">
        <f t="shared" si="22"/>
        <v>43849.2</v>
      </c>
      <c r="J362" s="47">
        <f t="shared" si="22"/>
        <v>788.57</v>
      </c>
      <c r="K362" s="47">
        <f t="shared" si="22"/>
        <v>0</v>
      </c>
      <c r="L362" s="47">
        <f t="shared" si="22"/>
        <v>153932.20000000001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40809.01</v>
      </c>
      <c r="G367" s="18"/>
      <c r="H367" s="18"/>
      <c r="I367" s="56">
        <f>SUM(F367:H367)</f>
        <v>40809.01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3040.19</v>
      </c>
      <c r="G368" s="63"/>
      <c r="H368" s="63"/>
      <c r="I368" s="56">
        <f>SUM(F368:H368)</f>
        <v>3040.19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43849.200000000004</v>
      </c>
      <c r="G369" s="47">
        <f>SUM(G367:G368)</f>
        <v>0</v>
      </c>
      <c r="H369" s="47">
        <f>SUM(H367:H368)</f>
        <v>0</v>
      </c>
      <c r="I369" s="47">
        <f>SUM(I367:I368)</f>
        <v>43849.200000000004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>
        <v>25000</v>
      </c>
      <c r="H396" s="18">
        <v>278.57</v>
      </c>
      <c r="I396" s="18"/>
      <c r="J396" s="24" t="s">
        <v>289</v>
      </c>
      <c r="K396" s="24" t="s">
        <v>289</v>
      </c>
      <c r="L396" s="56">
        <f t="shared" si="26"/>
        <v>25278.57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25000</v>
      </c>
      <c r="H397" s="18">
        <v>140.15</v>
      </c>
      <c r="I397" s="18"/>
      <c r="J397" s="24" t="s">
        <v>289</v>
      </c>
      <c r="K397" s="24" t="s">
        <v>289</v>
      </c>
      <c r="L397" s="56">
        <f t="shared" si="26"/>
        <v>25140.15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>
        <v>56000</v>
      </c>
      <c r="H398" s="18">
        <v>311.95</v>
      </c>
      <c r="I398" s="18"/>
      <c r="J398" s="24" t="s">
        <v>289</v>
      </c>
      <c r="K398" s="24" t="s">
        <v>289</v>
      </c>
      <c r="L398" s="56">
        <f t="shared" si="26"/>
        <v>56311.95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15000</v>
      </c>
      <c r="H400" s="18">
        <v>83.4</v>
      </c>
      <c r="I400" s="18"/>
      <c r="J400" s="24" t="s">
        <v>289</v>
      </c>
      <c r="K400" s="24" t="s">
        <v>289</v>
      </c>
      <c r="L400" s="56">
        <f t="shared" si="26"/>
        <v>15083.4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121000</v>
      </c>
      <c r="H401" s="47">
        <f>SUM(H395:H400)</f>
        <v>814.07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121814.06999999999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121000</v>
      </c>
      <c r="H408" s="47">
        <f>H393+H401+H407</f>
        <v>814.07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121814.06999999999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273587.56</v>
      </c>
      <c r="G439" s="18"/>
      <c r="H439" s="18"/>
      <c r="I439" s="56">
        <f t="shared" ref="I439:I445" si="33">SUM(F439:H439)</f>
        <v>273587.56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273587.56</v>
      </c>
      <c r="G446" s="13">
        <f>SUM(G439:G445)</f>
        <v>0</v>
      </c>
      <c r="H446" s="13">
        <f>SUM(H439:H445)</f>
        <v>0</v>
      </c>
      <c r="I446" s="13">
        <f>SUM(I439:I445)</f>
        <v>273587.56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273587.56</v>
      </c>
      <c r="G459" s="18"/>
      <c r="H459" s="18"/>
      <c r="I459" s="56">
        <f t="shared" si="34"/>
        <v>273587.56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273587.56</v>
      </c>
      <c r="G460" s="83">
        <f>SUM(G454:G459)</f>
        <v>0</v>
      </c>
      <c r="H460" s="83">
        <f>SUM(H454:H459)</f>
        <v>0</v>
      </c>
      <c r="I460" s="83">
        <f>SUM(I454:I459)</f>
        <v>273587.56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273587.56</v>
      </c>
      <c r="G461" s="42">
        <f>G452+G460</f>
        <v>0</v>
      </c>
      <c r="H461" s="42">
        <f>H452+H460</f>
        <v>0</v>
      </c>
      <c r="I461" s="42">
        <f>I452+I460</f>
        <v>273587.56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990301</v>
      </c>
      <c r="G465" s="18">
        <v>2935.13</v>
      </c>
      <c r="H465" s="18"/>
      <c r="I465" s="18"/>
      <c r="J465" s="18">
        <v>151773.49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11522503.1</v>
      </c>
      <c r="G468" s="18">
        <f>155749.84+37.6</f>
        <v>155787.44</v>
      </c>
      <c r="H468" s="18"/>
      <c r="I468" s="18"/>
      <c r="J468" s="18">
        <v>121814.07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11522503.1</v>
      </c>
      <c r="G470" s="53">
        <f>SUM(G468:G469)</f>
        <v>155787.44</v>
      </c>
      <c r="H470" s="53">
        <f>SUM(H468:H469)</f>
        <v>0</v>
      </c>
      <c r="I470" s="53">
        <f>SUM(I468:I469)</f>
        <v>0</v>
      </c>
      <c r="J470" s="53">
        <f>SUM(J468:J469)</f>
        <v>121814.07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11700162.2+55266.73-153932.2</f>
        <v>11601496.73</v>
      </c>
      <c r="G472" s="18">
        <v>153932.20000000001</v>
      </c>
      <c r="H472" s="18"/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11601496.73</v>
      </c>
      <c r="G474" s="53">
        <f>SUM(G472:G473)</f>
        <v>153932.20000000001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911307.36999999918</v>
      </c>
      <c r="G476" s="53">
        <f>(G465+G470)- G474</f>
        <v>4790.3699999999953</v>
      </c>
      <c r="H476" s="53">
        <f>(H465+H470)- H474</f>
        <v>0</v>
      </c>
      <c r="I476" s="53">
        <f>(I465+I470)- I474</f>
        <v>0</v>
      </c>
      <c r="J476" s="53">
        <f>(J465+J470)- J474</f>
        <v>273587.56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15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914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915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4370000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4.5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580000</v>
      </c>
      <c r="G495" s="18"/>
      <c r="H495" s="18"/>
      <c r="I495" s="18"/>
      <c r="J495" s="18"/>
      <c r="K495" s="53">
        <f>SUM(F495:J495)</f>
        <v>580000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290000</v>
      </c>
      <c r="G497" s="18"/>
      <c r="H497" s="18"/>
      <c r="I497" s="18"/>
      <c r="J497" s="18"/>
      <c r="K497" s="53">
        <f t="shared" si="35"/>
        <v>290000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290000</v>
      </c>
      <c r="G498" s="204"/>
      <c r="H498" s="204"/>
      <c r="I498" s="204"/>
      <c r="J498" s="204"/>
      <c r="K498" s="205">
        <f t="shared" si="35"/>
        <v>290000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6960</v>
      </c>
      <c r="G499" s="18"/>
      <c r="H499" s="18"/>
      <c r="I499" s="18"/>
      <c r="J499" s="18"/>
      <c r="K499" s="53">
        <f t="shared" si="35"/>
        <v>6960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296960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296960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290000</v>
      </c>
      <c r="G501" s="204"/>
      <c r="H501" s="204"/>
      <c r="I501" s="204"/>
      <c r="J501" s="204"/>
      <c r="K501" s="205">
        <f t="shared" si="35"/>
        <v>290000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6960</v>
      </c>
      <c r="G502" s="18"/>
      <c r="H502" s="18"/>
      <c r="I502" s="18"/>
      <c r="J502" s="18"/>
      <c r="K502" s="53">
        <f t="shared" si="35"/>
        <v>6960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296960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296960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740173.06</v>
      </c>
      <c r="G521" s="18">
        <v>371264.47</v>
      </c>
      <c r="H521" s="18">
        <v>594276.51</v>
      </c>
      <c r="I521" s="18">
        <v>21086.98</v>
      </c>
      <c r="J521" s="18">
        <v>6113.07</v>
      </c>
      <c r="K521" s="18">
        <v>11881.26</v>
      </c>
      <c r="L521" s="88">
        <f>SUM(F521:K521)</f>
        <v>1744795.35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759302.15</v>
      </c>
      <c r="I523" s="18"/>
      <c r="J523" s="18"/>
      <c r="K523" s="18"/>
      <c r="L523" s="88">
        <f>SUM(F523:K523)</f>
        <v>759302.15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740173.06</v>
      </c>
      <c r="G524" s="108">
        <f t="shared" ref="G524:L524" si="36">SUM(G521:G523)</f>
        <v>371264.47</v>
      </c>
      <c r="H524" s="108">
        <f t="shared" si="36"/>
        <v>1353578.6600000001</v>
      </c>
      <c r="I524" s="108">
        <f t="shared" si="36"/>
        <v>21086.98</v>
      </c>
      <c r="J524" s="108">
        <f t="shared" si="36"/>
        <v>6113.07</v>
      </c>
      <c r="K524" s="108">
        <f t="shared" si="36"/>
        <v>11881.26</v>
      </c>
      <c r="L524" s="89">
        <f t="shared" si="36"/>
        <v>2504097.5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10528.76</v>
      </c>
      <c r="G526" s="18">
        <f>25.56+1500+920.08+1649.34</f>
        <v>4094.9799999999996</v>
      </c>
      <c r="H526" s="18">
        <f>190.56+86714.26</f>
        <v>86904.819999999992</v>
      </c>
      <c r="I526" s="18">
        <v>0</v>
      </c>
      <c r="J526" s="18">
        <v>0</v>
      </c>
      <c r="K526" s="18">
        <v>0</v>
      </c>
      <c r="L526" s="88">
        <f>SUM(F526:K526)</f>
        <v>101528.56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>
        <v>26362.5</v>
      </c>
      <c r="I528" s="18"/>
      <c r="J528" s="18"/>
      <c r="K528" s="18"/>
      <c r="L528" s="88">
        <f>SUM(F528:K528)</f>
        <v>26362.5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10528.76</v>
      </c>
      <c r="G529" s="89">
        <f t="shared" ref="G529:L529" si="37">SUM(G526:G528)</f>
        <v>4094.9799999999996</v>
      </c>
      <c r="H529" s="89">
        <f t="shared" si="37"/>
        <v>113267.31999999999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127891.06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/>
      <c r="G531" s="18"/>
      <c r="H531" s="18">
        <v>43855.63</v>
      </c>
      <c r="I531" s="18"/>
      <c r="J531" s="18"/>
      <c r="K531" s="18"/>
      <c r="L531" s="88">
        <f>SUM(F531:K531)</f>
        <v>43855.63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>
        <v>25756.48</v>
      </c>
      <c r="I533" s="18"/>
      <c r="J533" s="18"/>
      <c r="K533" s="18"/>
      <c r="L533" s="88">
        <f>SUM(F533:K533)</f>
        <v>25756.48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69612.11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69612.11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v>5257.98</v>
      </c>
      <c r="G541" s="18">
        <v>388.33</v>
      </c>
      <c r="H541" s="18">
        <v>115709.5</v>
      </c>
      <c r="I541" s="18"/>
      <c r="J541" s="18"/>
      <c r="K541" s="18"/>
      <c r="L541" s="88">
        <f>SUM(F541:K541)</f>
        <v>121355.81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52164.37</v>
      </c>
      <c r="I543" s="18"/>
      <c r="J543" s="18"/>
      <c r="K543" s="18"/>
      <c r="L543" s="88">
        <f>SUM(F543:K543)</f>
        <v>52164.37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5257.98</v>
      </c>
      <c r="G544" s="193">
        <f t="shared" ref="G544:L544" si="40">SUM(G541:G543)</f>
        <v>388.33</v>
      </c>
      <c r="H544" s="193">
        <f t="shared" si="40"/>
        <v>167873.87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173520.18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755959.8</v>
      </c>
      <c r="G545" s="89">
        <f t="shared" ref="G545:L545" si="41">G524+G529+G534+G539+G544</f>
        <v>375747.77999999997</v>
      </c>
      <c r="H545" s="89">
        <f t="shared" si="41"/>
        <v>1704331.9600000004</v>
      </c>
      <c r="I545" s="89">
        <f t="shared" si="41"/>
        <v>21086.98</v>
      </c>
      <c r="J545" s="89">
        <f t="shared" si="41"/>
        <v>6113.07</v>
      </c>
      <c r="K545" s="89">
        <f t="shared" si="41"/>
        <v>11881.26</v>
      </c>
      <c r="L545" s="89">
        <f t="shared" si="41"/>
        <v>2875120.85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1744795.35</v>
      </c>
      <c r="G549" s="87">
        <f>L526</f>
        <v>101528.56</v>
      </c>
      <c r="H549" s="87">
        <f>L531</f>
        <v>43855.63</v>
      </c>
      <c r="I549" s="87">
        <f>L536</f>
        <v>0</v>
      </c>
      <c r="J549" s="87">
        <f>L541</f>
        <v>121355.81</v>
      </c>
      <c r="K549" s="87">
        <f>SUM(F549:J549)</f>
        <v>2011535.35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759302.15</v>
      </c>
      <c r="G551" s="87">
        <f>L528</f>
        <v>26362.5</v>
      </c>
      <c r="H551" s="87">
        <f>L533</f>
        <v>25756.48</v>
      </c>
      <c r="I551" s="87">
        <f>L538</f>
        <v>0</v>
      </c>
      <c r="J551" s="87">
        <f>L543</f>
        <v>52164.37</v>
      </c>
      <c r="K551" s="87">
        <f>SUM(F551:J551)</f>
        <v>863585.5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2504097.5</v>
      </c>
      <c r="G552" s="89">
        <f t="shared" si="42"/>
        <v>127891.06</v>
      </c>
      <c r="H552" s="89">
        <f t="shared" si="42"/>
        <v>69612.11</v>
      </c>
      <c r="I552" s="89">
        <f t="shared" si="42"/>
        <v>0</v>
      </c>
      <c r="J552" s="89">
        <f t="shared" si="42"/>
        <v>173520.18</v>
      </c>
      <c r="K552" s="89">
        <f t="shared" si="42"/>
        <v>2875120.85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>
        <f>1145274+193815.6+1341307.82+757620.98</f>
        <v>3438018.4</v>
      </c>
      <c r="I577" s="87">
        <f t="shared" si="47"/>
        <v>3438018.4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f>150+1871+1377.03+1433.73+1433.73-2122.25</f>
        <v>4143.24</v>
      </c>
      <c r="I578" s="87">
        <f t="shared" si="47"/>
        <v>4143.24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172880.5+2275.7+16102.8</f>
        <v>191259</v>
      </c>
      <c r="G579" s="18"/>
      <c r="H579" s="18">
        <v>11093.01</v>
      </c>
      <c r="I579" s="87">
        <f t="shared" si="47"/>
        <v>202352.01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>
        <f>277424.4+85452.76+59280.34</f>
        <v>422157.5</v>
      </c>
      <c r="I581" s="87">
        <f t="shared" si="47"/>
        <v>422157.5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31025.28+13830+37714.25+93291.84</f>
        <v>175861.37</v>
      </c>
      <c r="G582" s="18"/>
      <c r="H582" s="18">
        <f>2569.97+3558.42+4349.18+3835.15+3163.04+3439.77+4546.87+5733.01+3163.04+6689.7+3399.6+4513.64+58800.47+8925.72</f>
        <v>116687.57999999999</v>
      </c>
      <c r="I582" s="87">
        <f t="shared" si="47"/>
        <v>292548.94999999995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f>104131.3+42612.54</f>
        <v>146743.84</v>
      </c>
      <c r="I583" s="87">
        <f t="shared" si="47"/>
        <v>146743.84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332141.27</v>
      </c>
      <c r="I591" s="18">
        <v>0</v>
      </c>
      <c r="J591" s="18">
        <v>124552.96000000001</v>
      </c>
      <c r="K591" s="104">
        <f t="shared" ref="K591:K597" si="48">SUM(H591:J591)</f>
        <v>456694.23000000004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121355.81</v>
      </c>
      <c r="I592" s="18">
        <v>0</v>
      </c>
      <c r="J592" s="18">
        <v>52164.37</v>
      </c>
      <c r="K592" s="104">
        <f t="shared" si="48"/>
        <v>173520.18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0</v>
      </c>
      <c r="I593" s="18">
        <v>0</v>
      </c>
      <c r="J593" s="18">
        <v>0</v>
      </c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5500</v>
      </c>
      <c r="I594" s="18">
        <v>0</v>
      </c>
      <c r="J594" s="18">
        <v>0</v>
      </c>
      <c r="K594" s="104">
        <f t="shared" si="48"/>
        <v>5500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0</v>
      </c>
      <c r="I595" s="18">
        <v>0</v>
      </c>
      <c r="J595" s="18">
        <v>0</v>
      </c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0</v>
      </c>
      <c r="I596" s="18">
        <v>0</v>
      </c>
      <c r="J596" s="18">
        <v>0</v>
      </c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v>0</v>
      </c>
      <c r="I597" s="18">
        <v>0</v>
      </c>
      <c r="J597" s="18">
        <v>0</v>
      </c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458997.08</v>
      </c>
      <c r="I598" s="108">
        <f>SUM(I591:I597)</f>
        <v>0</v>
      </c>
      <c r="J598" s="108">
        <f>SUM(J591:J597)</f>
        <v>176717.33000000002</v>
      </c>
      <c r="K598" s="108">
        <f>SUM(K591:K597)</f>
        <v>635714.41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>
        <v>0</v>
      </c>
      <c r="I602" s="18">
        <v>0</v>
      </c>
      <c r="J602" s="18">
        <v>0</v>
      </c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>
        <v>0</v>
      </c>
      <c r="I603" s="18">
        <v>0</v>
      </c>
      <c r="J603" s="18">
        <v>0</v>
      </c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138883.89000000001</v>
      </c>
      <c r="I604" s="18">
        <v>0</v>
      </c>
      <c r="J604" s="18">
        <v>0</v>
      </c>
      <c r="K604" s="104">
        <f>SUM(H604:J604)</f>
        <v>138883.89000000001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138883.89000000001</v>
      </c>
      <c r="I605" s="108">
        <f>SUM(I602:I604)</f>
        <v>0</v>
      </c>
      <c r="J605" s="108">
        <f>SUM(J602:J604)</f>
        <v>0</v>
      </c>
      <c r="K605" s="108">
        <f>SUM(K602:K604)</f>
        <v>138883.89000000001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33065.32+2040</f>
        <v>35105.32</v>
      </c>
      <c r="G611" s="18">
        <f>7787.34+156.06</f>
        <v>7943.4000000000005</v>
      </c>
      <c r="H611" s="18">
        <v>0</v>
      </c>
      <c r="I611" s="18">
        <v>0</v>
      </c>
      <c r="J611" s="18">
        <v>0</v>
      </c>
      <c r="K611" s="18">
        <v>0</v>
      </c>
      <c r="L611" s="88">
        <f>SUM(F611:K611)</f>
        <v>43048.72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0</v>
      </c>
      <c r="G612" s="18">
        <v>0</v>
      </c>
      <c r="H612" s="18">
        <v>0</v>
      </c>
      <c r="I612" s="18">
        <v>0</v>
      </c>
      <c r="J612" s="18">
        <v>0</v>
      </c>
      <c r="K612" s="18">
        <v>0</v>
      </c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0</v>
      </c>
      <c r="G613" s="18">
        <v>0</v>
      </c>
      <c r="H613" s="18">
        <v>2460.2399999999998</v>
      </c>
      <c r="I613" s="18">
        <v>0</v>
      </c>
      <c r="J613" s="18">
        <v>0</v>
      </c>
      <c r="K613" s="18">
        <v>0</v>
      </c>
      <c r="L613" s="88">
        <f>SUM(F613:K613)</f>
        <v>2460.2399999999998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35105.32</v>
      </c>
      <c r="G614" s="108">
        <f t="shared" si="49"/>
        <v>7943.4000000000005</v>
      </c>
      <c r="H614" s="108">
        <f t="shared" si="49"/>
        <v>2460.2399999999998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45508.959999999999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1150078.0699999998</v>
      </c>
      <c r="H617" s="109">
        <f>SUM(F52)</f>
        <v>1150078.07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17416.100000000002</v>
      </c>
      <c r="H618" s="109">
        <f>SUM(G52)</f>
        <v>17416.099999999999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273587.56</v>
      </c>
      <c r="H621" s="109">
        <f>SUM(J52)</f>
        <v>273587.56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911307.37</v>
      </c>
      <c r="H622" s="109">
        <f>F476</f>
        <v>911307.36999999918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4790.37</v>
      </c>
      <c r="H623" s="109">
        <f>G476</f>
        <v>4790.3699999999953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273587.56</v>
      </c>
      <c r="H626" s="109">
        <f>J476</f>
        <v>273587.56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11522503.1</v>
      </c>
      <c r="H627" s="104">
        <f>SUM(F468)</f>
        <v>11522503.1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155787.44</v>
      </c>
      <c r="H628" s="104">
        <f>SUM(G468)</f>
        <v>155787.44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121814.07</v>
      </c>
      <c r="H631" s="104">
        <f>SUM(J468)</f>
        <v>121814.07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11601496.729999999</v>
      </c>
      <c r="H632" s="104">
        <f>SUM(F472)</f>
        <v>11601496.73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43849.2</v>
      </c>
      <c r="H634" s="104">
        <f>I369</f>
        <v>43849.200000000004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153932.20000000001</v>
      </c>
      <c r="H635" s="104">
        <f>SUM(G472)</f>
        <v>153932.20000000001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121814.06999999999</v>
      </c>
      <c r="H637" s="164">
        <f>SUM(J468)</f>
        <v>121814.07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273587.56</v>
      </c>
      <c r="H639" s="104">
        <f>SUM(F461)</f>
        <v>273587.56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273587.56</v>
      </c>
      <c r="H642" s="104">
        <f>SUM(I461)</f>
        <v>273587.56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814.07</v>
      </c>
      <c r="H644" s="104">
        <f>H408</f>
        <v>814.07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121000</v>
      </c>
      <c r="H645" s="104">
        <f>G408</f>
        <v>121000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121814.07</v>
      </c>
      <c r="H646" s="104">
        <f>L408</f>
        <v>121814.06999999999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635714.41</v>
      </c>
      <c r="H647" s="104">
        <f>L208+L226+L244</f>
        <v>635714.41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138883.89000000001</v>
      </c>
      <c r="H648" s="104">
        <f>(J257+J338)-(J255+J336)</f>
        <v>138883.88999999998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458997.08</v>
      </c>
      <c r="H649" s="104">
        <f>H598</f>
        <v>458997.08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0</v>
      </c>
      <c r="H650" s="104">
        <f>I598</f>
        <v>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176717.33</v>
      </c>
      <c r="H651" s="104">
        <f>J598</f>
        <v>176717.33000000002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35350.1</v>
      </c>
      <c r="H652" s="104">
        <f>K263+K345</f>
        <v>35350.1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121000</v>
      </c>
      <c r="H655" s="104">
        <f>K266+K347</f>
        <v>121000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6696742.9800000004</v>
      </c>
      <c r="G660" s="19">
        <f>(L229+L309+L359)</f>
        <v>0</v>
      </c>
      <c r="H660" s="19">
        <f>(L247+L328+L360)</f>
        <v>4602364.3499999996</v>
      </c>
      <c r="I660" s="19">
        <f>SUM(F660:H660)</f>
        <v>11299107.33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59882.8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59882.8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458997.08</v>
      </c>
      <c r="G662" s="19">
        <f>(L226+L306)-(J226+J306)</f>
        <v>0</v>
      </c>
      <c r="H662" s="19">
        <f>(L244+L325)-(J244+J325)</f>
        <v>176717.33</v>
      </c>
      <c r="I662" s="19">
        <f>SUM(F662:H662)</f>
        <v>635714.41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549052.98</v>
      </c>
      <c r="G663" s="199">
        <f>SUM(G575:G587)+SUM(I602:I604)+L612</f>
        <v>0</v>
      </c>
      <c r="H663" s="199">
        <f>SUM(H575:H587)+SUM(J602:J604)+L613</f>
        <v>4141303.81</v>
      </c>
      <c r="I663" s="19">
        <f>SUM(F663:H663)</f>
        <v>4690356.79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5628810.120000001</v>
      </c>
      <c r="G664" s="19">
        <f>G660-SUM(G661:G663)</f>
        <v>0</v>
      </c>
      <c r="H664" s="19">
        <f>H660-SUM(H661:H663)</f>
        <v>284343.20999999996</v>
      </c>
      <c r="I664" s="19">
        <f>I660-SUM(I661:I663)</f>
        <v>5913153.3300000001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389.29</v>
      </c>
      <c r="G665" s="248"/>
      <c r="H665" s="248"/>
      <c r="I665" s="19">
        <f>SUM(F665:H665)</f>
        <v>389.29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14459.17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15189.58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>
        <v>-284343.21000000002</v>
      </c>
      <c r="I669" s="19">
        <f>SUM(F669:H669)</f>
        <v>-284343.21000000002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14459.17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14459.17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tabSelected="1" workbookViewId="0">
      <selection activeCell="B10" sqref="B10:C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Northwood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1426815.96</v>
      </c>
      <c r="C9" s="229">
        <f>'DOE25'!G197+'DOE25'!G215+'DOE25'!G233+'DOE25'!G276+'DOE25'!G295+'DOE25'!G314</f>
        <v>808509.89</v>
      </c>
    </row>
    <row r="10" spans="1:3" x14ac:dyDescent="0.2">
      <c r="A10" t="s">
        <v>779</v>
      </c>
      <c r="B10" s="240">
        <v>1320435.54</v>
      </c>
      <c r="C10" s="240">
        <v>757430.26</v>
      </c>
    </row>
    <row r="11" spans="1:3" x14ac:dyDescent="0.2">
      <c r="A11" t="s">
        <v>780</v>
      </c>
      <c r="B11" s="240">
        <v>60747.82</v>
      </c>
      <c r="C11" s="240">
        <v>47845.59</v>
      </c>
    </row>
    <row r="12" spans="1:3" x14ac:dyDescent="0.2">
      <c r="A12" t="s">
        <v>781</v>
      </c>
      <c r="B12" s="240">
        <v>45632.6</v>
      </c>
      <c r="C12" s="240">
        <v>3234.04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1426815.9600000002</v>
      </c>
      <c r="C13" s="231">
        <f>SUM(C10:C12)</f>
        <v>808509.89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740173.06</v>
      </c>
      <c r="C18" s="229">
        <f>'DOE25'!G198+'DOE25'!G216+'DOE25'!G234+'DOE25'!G277+'DOE25'!G296+'DOE25'!G315</f>
        <v>371264.47</v>
      </c>
    </row>
    <row r="19" spans="1:3" x14ac:dyDescent="0.2">
      <c r="A19" t="s">
        <v>779</v>
      </c>
      <c r="B19" s="240">
        <v>206246.2</v>
      </c>
      <c r="C19" s="240">
        <v>132087.32</v>
      </c>
    </row>
    <row r="20" spans="1:3" x14ac:dyDescent="0.2">
      <c r="A20" t="s">
        <v>780</v>
      </c>
      <c r="B20" s="240">
        <v>364294.25</v>
      </c>
      <c r="C20" s="240">
        <v>220488.07</v>
      </c>
    </row>
    <row r="21" spans="1:3" x14ac:dyDescent="0.2">
      <c r="A21" t="s">
        <v>781</v>
      </c>
      <c r="B21" s="240">
        <v>169632.61</v>
      </c>
      <c r="C21" s="240">
        <v>18689.080000000002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740173.05999999994</v>
      </c>
      <c r="C22" s="231">
        <f>SUM(C19:C21)</f>
        <v>371264.47000000003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>
        <v>0</v>
      </c>
      <c r="C28" s="240">
        <v>0</v>
      </c>
    </row>
    <row r="29" spans="1:3" x14ac:dyDescent="0.2">
      <c r="A29" t="s">
        <v>780</v>
      </c>
      <c r="B29" s="240">
        <v>0</v>
      </c>
      <c r="C29" s="240">
        <v>0</v>
      </c>
    </row>
    <row r="30" spans="1:3" x14ac:dyDescent="0.2">
      <c r="A30" t="s">
        <v>781</v>
      </c>
      <c r="B30" s="240">
        <v>0</v>
      </c>
      <c r="C30" s="240">
        <v>0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40410</v>
      </c>
      <c r="C36" s="235">
        <f>'DOE25'!G200+'DOE25'!G218+'DOE25'!G236+'DOE25'!G279+'DOE25'!G298+'DOE25'!G317</f>
        <v>6267.78</v>
      </c>
    </row>
    <row r="37" spans="1:3" x14ac:dyDescent="0.2">
      <c r="A37" t="s">
        <v>779</v>
      </c>
      <c r="B37" s="240">
        <v>21510</v>
      </c>
      <c r="C37" s="240">
        <v>4649.92</v>
      </c>
    </row>
    <row r="38" spans="1:3" x14ac:dyDescent="0.2">
      <c r="A38" t="s">
        <v>780</v>
      </c>
      <c r="B38" s="240">
        <v>4200</v>
      </c>
      <c r="C38" s="240">
        <v>321.3</v>
      </c>
    </row>
    <row r="39" spans="1:3" x14ac:dyDescent="0.2">
      <c r="A39" t="s">
        <v>781</v>
      </c>
      <c r="B39" s="240">
        <v>14700</v>
      </c>
      <c r="C39" s="240">
        <v>1296.56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40410</v>
      </c>
      <c r="C40" s="231">
        <f>SUM(C37:C39)</f>
        <v>6267.7800000000007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Northwood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8480466.370000001</v>
      </c>
      <c r="D5" s="20">
        <f>SUM('DOE25'!L197:L200)+SUM('DOE25'!L215:L218)+SUM('DOE25'!L233:L236)-F5-G5</f>
        <v>8449718.2600000016</v>
      </c>
      <c r="E5" s="243"/>
      <c r="F5" s="255">
        <f>SUM('DOE25'!J197:J200)+SUM('DOE25'!J215:J218)+SUM('DOE25'!J233:J236)</f>
        <v>18666.849999999999</v>
      </c>
      <c r="G5" s="53">
        <f>SUM('DOE25'!K197:K200)+SUM('DOE25'!K215:K218)+SUM('DOE25'!K233:K236)</f>
        <v>12081.26</v>
      </c>
      <c r="H5" s="259"/>
    </row>
    <row r="6" spans="1:9" x14ac:dyDescent="0.2">
      <c r="A6" s="32">
        <v>2100</v>
      </c>
      <c r="B6" t="s">
        <v>801</v>
      </c>
      <c r="C6" s="245">
        <f t="shared" si="0"/>
        <v>341305.26</v>
      </c>
      <c r="D6" s="20">
        <f>'DOE25'!L202+'DOE25'!L220+'DOE25'!L238-F6-G6</f>
        <v>340399.27</v>
      </c>
      <c r="E6" s="243"/>
      <c r="F6" s="255">
        <f>'DOE25'!J202+'DOE25'!J220+'DOE25'!J238</f>
        <v>591.99</v>
      </c>
      <c r="G6" s="53">
        <f>'DOE25'!K202+'DOE25'!K220+'DOE25'!K238</f>
        <v>314</v>
      </c>
      <c r="H6" s="259"/>
    </row>
    <row r="7" spans="1:9" x14ac:dyDescent="0.2">
      <c r="A7" s="32">
        <v>2200</v>
      </c>
      <c r="B7" t="s">
        <v>834</v>
      </c>
      <c r="C7" s="245">
        <f t="shared" si="0"/>
        <v>419189.82999999996</v>
      </c>
      <c r="D7" s="20">
        <f>'DOE25'!L203+'DOE25'!L221+'DOE25'!L239-F7-G7</f>
        <v>310900.05999999994</v>
      </c>
      <c r="E7" s="243"/>
      <c r="F7" s="255">
        <f>'DOE25'!J203+'DOE25'!J221+'DOE25'!J239</f>
        <v>108129.77</v>
      </c>
      <c r="G7" s="53">
        <f>'DOE25'!K203+'DOE25'!K221+'DOE25'!K239</f>
        <v>160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289639.58000000007</v>
      </c>
      <c r="D8" s="243"/>
      <c r="E8" s="20">
        <f>'DOE25'!L204+'DOE25'!L222+'DOE25'!L240-F8-G8-D9-D11</f>
        <v>282369.01000000007</v>
      </c>
      <c r="F8" s="255">
        <f>'DOE25'!J204+'DOE25'!J222+'DOE25'!J240</f>
        <v>0</v>
      </c>
      <c r="G8" s="53">
        <f>'DOE25'!K204+'DOE25'!K222+'DOE25'!K240</f>
        <v>7270.57</v>
      </c>
      <c r="H8" s="259"/>
    </row>
    <row r="9" spans="1:9" x14ac:dyDescent="0.2">
      <c r="A9" s="32">
        <v>2310</v>
      </c>
      <c r="B9" t="s">
        <v>818</v>
      </c>
      <c r="C9" s="245">
        <f t="shared" si="0"/>
        <v>56553.75</v>
      </c>
      <c r="D9" s="244">
        <v>56553.75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12600</v>
      </c>
      <c r="D10" s="243"/>
      <c r="E10" s="244">
        <v>12600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92456.36</v>
      </c>
      <c r="D11" s="244">
        <v>92456.36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383007.44999999995</v>
      </c>
      <c r="D12" s="20">
        <f>'DOE25'!L205+'DOE25'!L223+'DOE25'!L241-F12-G12</f>
        <v>376838.5</v>
      </c>
      <c r="E12" s="243"/>
      <c r="F12" s="255">
        <f>'DOE25'!J205+'DOE25'!J223+'DOE25'!J241</f>
        <v>809.98</v>
      </c>
      <c r="G12" s="53">
        <f>'DOE25'!K205+'DOE25'!K223+'DOE25'!K241</f>
        <v>5358.97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446842.11999999994</v>
      </c>
      <c r="D14" s="20">
        <f>'DOE25'!L207+'DOE25'!L225+'DOE25'!L243-F14-G14</f>
        <v>436156.81999999995</v>
      </c>
      <c r="E14" s="243"/>
      <c r="F14" s="255">
        <f>'DOE25'!J207+'DOE25'!J225+'DOE25'!J243</f>
        <v>10685.3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635714.41</v>
      </c>
      <c r="D15" s="20">
        <f>'DOE25'!L208+'DOE25'!L226+'DOE25'!L244-F15-G15</f>
        <v>635714.41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298471.5</v>
      </c>
      <c r="D25" s="243"/>
      <c r="E25" s="243"/>
      <c r="F25" s="258"/>
      <c r="G25" s="256"/>
      <c r="H25" s="257">
        <f>'DOE25'!L260+'DOE25'!L261+'DOE25'!L341+'DOE25'!L342</f>
        <v>298471.5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113123.19</v>
      </c>
      <c r="D29" s="20">
        <f>'DOE25'!L358+'DOE25'!L359+'DOE25'!L360-'DOE25'!I367-F29-G29</f>
        <v>112334.62</v>
      </c>
      <c r="E29" s="243"/>
      <c r="F29" s="255">
        <f>'DOE25'!J358+'DOE25'!J359+'DOE25'!J360</f>
        <v>788.57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10811072.050000001</v>
      </c>
      <c r="E33" s="246">
        <f>SUM(E5:E31)</f>
        <v>294969.01000000007</v>
      </c>
      <c r="F33" s="246">
        <f>SUM(F5:F31)</f>
        <v>139672.46</v>
      </c>
      <c r="G33" s="246">
        <f>SUM(G5:G31)</f>
        <v>25184.800000000003</v>
      </c>
      <c r="H33" s="246">
        <f>SUM(H5:H31)</f>
        <v>298471.5</v>
      </c>
    </row>
    <row r="35" spans="2:8" ht="12" thickBot="1" x14ac:dyDescent="0.25">
      <c r="B35" s="253" t="s">
        <v>847</v>
      </c>
      <c r="D35" s="254">
        <f>E33</f>
        <v>294969.01000000007</v>
      </c>
      <c r="E35" s="249"/>
    </row>
    <row r="36" spans="2:8" ht="12" thickTop="1" x14ac:dyDescent="0.2">
      <c r="B36" t="s">
        <v>815</v>
      </c>
      <c r="D36" s="20">
        <f>D33</f>
        <v>10811072.050000001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Northwood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1142433.1299999999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273587.56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4800.1400000000003</v>
      </c>
      <c r="D12" s="95">
        <f>'DOE25'!G13</f>
        <v>10105.870000000001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2844.8</v>
      </c>
      <c r="D13" s="95">
        <f>'DOE25'!G14</f>
        <v>2519.86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4790.37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1150078.0699999998</v>
      </c>
      <c r="D18" s="41">
        <f>SUM(D8:D17)</f>
        <v>17416.100000000002</v>
      </c>
      <c r="E18" s="41">
        <f>SUM(E8:E17)</f>
        <v>0</v>
      </c>
      <c r="F18" s="41">
        <f>SUM(F8:F17)</f>
        <v>0</v>
      </c>
      <c r="G18" s="41">
        <f>SUM(G8:G17)</f>
        <v>273587.56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22305.55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216465.15000000002</v>
      </c>
      <c r="D23" s="95">
        <f>'DOE25'!G24</f>
        <v>12625.73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238770.7</v>
      </c>
      <c r="D31" s="41">
        <f>SUM(D21:D30)</f>
        <v>12625.73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4790.37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90000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215616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273587.56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605691.37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911307.37</v>
      </c>
      <c r="D50" s="41">
        <f>SUM(D34:D49)</f>
        <v>4790.37</v>
      </c>
      <c r="E50" s="41">
        <f>SUM(E34:E49)</f>
        <v>0</v>
      </c>
      <c r="F50" s="41">
        <f>SUM(F34:F49)</f>
        <v>0</v>
      </c>
      <c r="G50" s="41">
        <f>SUM(G34:G49)</f>
        <v>273587.56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1150078.07</v>
      </c>
      <c r="D51" s="41">
        <f>D50+D31</f>
        <v>17416.099999999999</v>
      </c>
      <c r="E51" s="41">
        <f>E50+E31</f>
        <v>0</v>
      </c>
      <c r="F51" s="41">
        <f>F50+F31</f>
        <v>0</v>
      </c>
      <c r="G51" s="41">
        <f>G50+G31</f>
        <v>273587.56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7500270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1402.15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814.07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59882.8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113021.24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114423.39</v>
      </c>
      <c r="D62" s="130">
        <f>SUM(D57:D61)</f>
        <v>59882.8</v>
      </c>
      <c r="E62" s="130">
        <f>SUM(E57:E61)</f>
        <v>0</v>
      </c>
      <c r="F62" s="130">
        <f>SUM(F57:F61)</f>
        <v>0</v>
      </c>
      <c r="G62" s="130">
        <f>SUM(G57:G61)</f>
        <v>814.07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7614693.3899999997</v>
      </c>
      <c r="D63" s="22">
        <f>D56+D62</f>
        <v>59882.8</v>
      </c>
      <c r="E63" s="22">
        <f>E56+E62</f>
        <v>0</v>
      </c>
      <c r="F63" s="22">
        <f>F56+F62</f>
        <v>0</v>
      </c>
      <c r="G63" s="22">
        <f>G56+G62</f>
        <v>814.07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2364909.5699999998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1124383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3489292.57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87814.3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200818.5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2137.5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288632.8</v>
      </c>
      <c r="D78" s="130">
        <f>SUM(D72:D77)</f>
        <v>2137.5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3777925.3699999996</v>
      </c>
      <c r="D81" s="130">
        <f>SUM(D79:D80)+D78+D70</f>
        <v>2137.5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129884.34</v>
      </c>
      <c r="D88" s="95">
        <f>SUM('DOE25'!G153:G161)</f>
        <v>58417.04</v>
      </c>
      <c r="E88" s="95">
        <f>SUM('DOE25'!H153:H161)</f>
        <v>0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129884.34</v>
      </c>
      <c r="D91" s="131">
        <f>SUM(D85:D90)</f>
        <v>58417.04</v>
      </c>
      <c r="E91" s="131">
        <f>SUM(E85:E90)</f>
        <v>0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35350.1</v>
      </c>
      <c r="E96" s="95">
        <f>'DOE25'!H179</f>
        <v>0</v>
      </c>
      <c r="F96" s="95">
        <f>'DOE25'!I179</f>
        <v>0</v>
      </c>
      <c r="G96" s="95">
        <f>'DOE25'!J179</f>
        <v>121000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35350.1</v>
      </c>
      <c r="E103" s="86">
        <f>SUM(E93:E102)</f>
        <v>0</v>
      </c>
      <c r="F103" s="86">
        <f>SUM(F93:F102)</f>
        <v>0</v>
      </c>
      <c r="G103" s="86">
        <f>SUM(G93:G102)</f>
        <v>121000</v>
      </c>
    </row>
    <row r="104" spans="1:7" ht="12.75" thickTop="1" thickBot="1" x14ac:dyDescent="0.25">
      <c r="A104" s="33" t="s">
        <v>765</v>
      </c>
      <c r="C104" s="86">
        <f>C63+C81+C91+C103</f>
        <v>11522503.1</v>
      </c>
      <c r="D104" s="86">
        <f>D63+D81+D91+D103</f>
        <v>155787.44</v>
      </c>
      <c r="E104" s="86">
        <f>E63+E81+E91+E103</f>
        <v>0</v>
      </c>
      <c r="F104" s="86">
        <f>F63+F81+F91+F103</f>
        <v>0</v>
      </c>
      <c r="G104" s="86">
        <f>G63+G81+G103</f>
        <v>121814.07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5883464.6799999997</v>
      </c>
      <c r="D109" s="24" t="s">
        <v>289</v>
      </c>
      <c r="E109" s="95">
        <f>('DOE25'!L276)+('DOE25'!L295)+('DOE25'!L314)</f>
        <v>0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2530460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66541.69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8480466.3699999992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341305.26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419189.82999999996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438649.69000000006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383007.44999999995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446842.11999999994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635714.41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153932.20000000001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2664708.7599999998</v>
      </c>
      <c r="D128" s="86">
        <f>SUM(D118:D127)</f>
        <v>153932.20000000001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290000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8471.5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35350.1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121814.06999999999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-814.06999999999243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1500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456321.6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11601496.729999999</v>
      </c>
      <c r="D145" s="86">
        <f>(D115+D128+D144)</f>
        <v>153932.20000000001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15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08/01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08/16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4370000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4.5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580000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580000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290000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290000</v>
      </c>
    </row>
    <row r="159" spans="1:9" x14ac:dyDescent="0.2">
      <c r="A159" s="22" t="s">
        <v>35</v>
      </c>
      <c r="B159" s="137">
        <f>'DOE25'!F498</f>
        <v>290000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290000</v>
      </c>
    </row>
    <row r="160" spans="1:9" x14ac:dyDescent="0.2">
      <c r="A160" s="22" t="s">
        <v>36</v>
      </c>
      <c r="B160" s="137">
        <f>'DOE25'!F499</f>
        <v>6960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6960</v>
      </c>
    </row>
    <row r="161" spans="1:7" x14ac:dyDescent="0.2">
      <c r="A161" s="22" t="s">
        <v>37</v>
      </c>
      <c r="B161" s="137">
        <f>'DOE25'!F500</f>
        <v>296960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296960</v>
      </c>
    </row>
    <row r="162" spans="1:7" x14ac:dyDescent="0.2">
      <c r="A162" s="22" t="s">
        <v>38</v>
      </c>
      <c r="B162" s="137">
        <f>'DOE25'!F501</f>
        <v>290000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290000</v>
      </c>
    </row>
    <row r="163" spans="1:7" x14ac:dyDescent="0.2">
      <c r="A163" s="22" t="s">
        <v>39</v>
      </c>
      <c r="B163" s="137">
        <f>'DOE25'!F502</f>
        <v>6960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6960</v>
      </c>
    </row>
    <row r="164" spans="1:7" x14ac:dyDescent="0.2">
      <c r="A164" s="22" t="s">
        <v>246</v>
      </c>
      <c r="B164" s="137">
        <f>'DOE25'!F503</f>
        <v>296960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296960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Northwood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14459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14459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5883465</v>
      </c>
      <c r="D10" s="182">
        <f>ROUND((C10/$C$28)*100,1)</f>
        <v>52.3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2530460</v>
      </c>
      <c r="D11" s="182">
        <f>ROUND((C11/$C$28)*100,1)</f>
        <v>22.5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66542</v>
      </c>
      <c r="D13" s="182">
        <f>ROUND((C13/$C$28)*100,1)</f>
        <v>0.6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341305</v>
      </c>
      <c r="D15" s="182">
        <f t="shared" ref="D15:D27" si="0">ROUND((C15/$C$28)*100,1)</f>
        <v>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419190</v>
      </c>
      <c r="D16" s="182">
        <f t="shared" si="0"/>
        <v>3.7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438650</v>
      </c>
      <c r="D17" s="182">
        <f t="shared" si="0"/>
        <v>3.9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383007</v>
      </c>
      <c r="D18" s="182">
        <f t="shared" si="0"/>
        <v>3.4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446842</v>
      </c>
      <c r="D20" s="182">
        <f t="shared" si="0"/>
        <v>4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635714</v>
      </c>
      <c r="D21" s="182">
        <f t="shared" si="0"/>
        <v>5.7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8472</v>
      </c>
      <c r="D25" s="182">
        <f t="shared" si="0"/>
        <v>0.1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1500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94049.2</v>
      </c>
      <c r="D27" s="182">
        <f t="shared" si="0"/>
        <v>0.8</v>
      </c>
    </row>
    <row r="28" spans="1:4" x14ac:dyDescent="0.2">
      <c r="B28" s="187" t="s">
        <v>723</v>
      </c>
      <c r="C28" s="180">
        <f>SUM(C10:C27)</f>
        <v>11249196.199999999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11249196.199999999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290000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7500270</v>
      </c>
      <c r="D35" s="182">
        <f t="shared" ref="D35:D40" si="1">ROUND((C35/$C$41)*100,1)</f>
        <v>64.7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115237.45999999996</v>
      </c>
      <c r="D36" s="182">
        <f t="shared" si="1"/>
        <v>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3489293</v>
      </c>
      <c r="D37" s="182">
        <f t="shared" si="1"/>
        <v>30.1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290770</v>
      </c>
      <c r="D38" s="182">
        <f t="shared" si="1"/>
        <v>2.5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188301</v>
      </c>
      <c r="D39" s="182">
        <f t="shared" si="1"/>
        <v>1.6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11583871.460000001</v>
      </c>
      <c r="D41" s="184">
        <f>SUM(D35:D40)</f>
        <v>99.9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C5" sqref="C5:M5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Northwood School District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>
        <v>3</v>
      </c>
      <c r="B4" s="219">
        <v>24</v>
      </c>
      <c r="C4" s="285" t="s">
        <v>913</v>
      </c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2016-08-17T17:00:53Z</cp:lastPrinted>
  <dcterms:created xsi:type="dcterms:W3CDTF">1997-12-04T19:04:30Z</dcterms:created>
  <dcterms:modified xsi:type="dcterms:W3CDTF">2016-09-14T17:59:39Z</dcterms:modified>
</cp:coreProperties>
</file>