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4000" windowHeight="91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3" i="1" l="1"/>
  <c r="K268" i="1"/>
  <c r="F44" i="1" l="1"/>
  <c r="D9" i="13" l="1"/>
  <c r="F521" i="1" l="1"/>
  <c r="F472" i="1" l="1"/>
  <c r="F197" i="1"/>
  <c r="F28" i="1" l="1"/>
  <c r="F13" i="1"/>
  <c r="G12" i="1" l="1"/>
  <c r="C21" i="12"/>
  <c r="B21" i="12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C18" i="10" s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2" i="10"/>
  <c r="L250" i="1"/>
  <c r="L332" i="1"/>
  <c r="L254" i="1"/>
  <c r="C25" i="10"/>
  <c r="L268" i="1"/>
  <c r="C142" i="2" s="1"/>
  <c r="L269" i="1"/>
  <c r="L349" i="1"/>
  <c r="L350" i="1"/>
  <c r="E143" i="2" s="1"/>
  <c r="I665" i="1"/>
  <c r="I670" i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5" i="2" s="1"/>
  <c r="C111" i="2"/>
  <c r="E111" i="2"/>
  <c r="E112" i="2"/>
  <c r="C113" i="2"/>
  <c r="E113" i="2"/>
  <c r="E114" i="2"/>
  <c r="D115" i="2"/>
  <c r="F115" i="2"/>
  <c r="G115" i="2"/>
  <c r="E118" i="2"/>
  <c r="E119" i="2"/>
  <c r="E128" i="2" s="1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H460" i="1"/>
  <c r="G461" i="1"/>
  <c r="H461" i="1"/>
  <c r="H641" i="1" s="1"/>
  <c r="F470" i="1"/>
  <c r="G470" i="1"/>
  <c r="H470" i="1"/>
  <c r="H476" i="1" s="1"/>
  <c r="H624" i="1" s="1"/>
  <c r="I470" i="1"/>
  <c r="J470" i="1"/>
  <c r="J476" i="1" s="1"/>
  <c r="H626" i="1" s="1"/>
  <c r="F474" i="1"/>
  <c r="F476" i="1" s="1"/>
  <c r="H622" i="1" s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L256" i="1"/>
  <c r="G164" i="2"/>
  <c r="L351" i="1"/>
  <c r="L290" i="1"/>
  <c r="D62" i="2"/>
  <c r="D18" i="13"/>
  <c r="C18" i="13" s="1"/>
  <c r="D17" i="13"/>
  <c r="C17" i="13" s="1"/>
  <c r="F78" i="2"/>
  <c r="F81" i="2" s="1"/>
  <c r="D50" i="2"/>
  <c r="F18" i="2"/>
  <c r="G156" i="2"/>
  <c r="E103" i="2"/>
  <c r="E62" i="2"/>
  <c r="E63" i="2" s="1"/>
  <c r="G62" i="2"/>
  <c r="D19" i="13"/>
  <c r="C19" i="13" s="1"/>
  <c r="E78" i="2"/>
  <c r="E81" i="2" s="1"/>
  <c r="F112" i="1"/>
  <c r="J571" i="1"/>
  <c r="D81" i="2"/>
  <c r="H169" i="1"/>
  <c r="G476" i="1"/>
  <c r="H623" i="1" s="1"/>
  <c r="J623" i="1" s="1"/>
  <c r="F169" i="1"/>
  <c r="F571" i="1"/>
  <c r="I552" i="1"/>
  <c r="G22" i="2"/>
  <c r="H552" i="1"/>
  <c r="F22" i="13"/>
  <c r="H25" i="13"/>
  <c r="C25" i="13" s="1"/>
  <c r="H571" i="1"/>
  <c r="H338" i="1"/>
  <c r="H352" i="1" s="1"/>
  <c r="F338" i="1"/>
  <c r="F352" i="1" s="1"/>
  <c r="L309" i="1"/>
  <c r="I571" i="1"/>
  <c r="G36" i="2"/>
  <c r="L565" i="1"/>
  <c r="C22" i="13"/>
  <c r="H33" i="13"/>
  <c r="K551" i="1" l="1"/>
  <c r="H545" i="1"/>
  <c r="K549" i="1"/>
  <c r="J622" i="1"/>
  <c r="C18" i="2"/>
  <c r="J617" i="1"/>
  <c r="D31" i="2"/>
  <c r="D51" i="2" s="1"/>
  <c r="K605" i="1"/>
  <c r="G648" i="1" s="1"/>
  <c r="K598" i="1"/>
  <c r="G647" i="1" s="1"/>
  <c r="F552" i="1"/>
  <c r="J545" i="1"/>
  <c r="J639" i="1"/>
  <c r="J644" i="1"/>
  <c r="L401" i="1"/>
  <c r="C139" i="2" s="1"/>
  <c r="I369" i="1"/>
  <c r="H634" i="1" s="1"/>
  <c r="J634" i="1" s="1"/>
  <c r="F661" i="1"/>
  <c r="G661" i="1"/>
  <c r="D127" i="2"/>
  <c r="D128" i="2" s="1"/>
  <c r="D145" i="2" s="1"/>
  <c r="H661" i="1"/>
  <c r="L362" i="1"/>
  <c r="G635" i="1" s="1"/>
  <c r="J635" i="1" s="1"/>
  <c r="A40" i="12"/>
  <c r="C13" i="10"/>
  <c r="C109" i="2"/>
  <c r="E16" i="13"/>
  <c r="C16" i="13" s="1"/>
  <c r="C118" i="2"/>
  <c r="L247" i="1"/>
  <c r="H660" i="1" s="1"/>
  <c r="C125" i="2"/>
  <c r="C121" i="2"/>
  <c r="D12" i="13"/>
  <c r="C12" i="13" s="1"/>
  <c r="K257" i="1"/>
  <c r="K271" i="1" s="1"/>
  <c r="C16" i="10"/>
  <c r="F257" i="1"/>
  <c r="F271" i="1" s="1"/>
  <c r="J257" i="1"/>
  <c r="J271" i="1" s="1"/>
  <c r="G257" i="1"/>
  <c r="G271" i="1" s="1"/>
  <c r="L229" i="1"/>
  <c r="G660" i="1" s="1"/>
  <c r="C17" i="10"/>
  <c r="H257" i="1"/>
  <c r="H271" i="1" s="1"/>
  <c r="C110" i="2"/>
  <c r="C21" i="10"/>
  <c r="G649" i="1"/>
  <c r="J649" i="1" s="1"/>
  <c r="H647" i="1"/>
  <c r="C124" i="2"/>
  <c r="D14" i="13"/>
  <c r="C14" i="13" s="1"/>
  <c r="E13" i="13"/>
  <c r="C13" i="13" s="1"/>
  <c r="I257" i="1"/>
  <c r="I271" i="1" s="1"/>
  <c r="C122" i="2"/>
  <c r="E8" i="13"/>
  <c r="C8" i="13" s="1"/>
  <c r="A31" i="12"/>
  <c r="C11" i="10"/>
  <c r="D5" i="13"/>
  <c r="C5" i="13" s="1"/>
  <c r="J655" i="1"/>
  <c r="J645" i="1"/>
  <c r="C91" i="2"/>
  <c r="D91" i="2"/>
  <c r="K550" i="1"/>
  <c r="D29" i="13"/>
  <c r="C29" i="13" s="1"/>
  <c r="C81" i="2"/>
  <c r="D63" i="2"/>
  <c r="G624" i="1"/>
  <c r="J624" i="1" s="1"/>
  <c r="L534" i="1"/>
  <c r="K500" i="1"/>
  <c r="I460" i="1"/>
  <c r="I452" i="1"/>
  <c r="I446" i="1"/>
  <c r="G642" i="1" s="1"/>
  <c r="C123" i="2"/>
  <c r="C119" i="2"/>
  <c r="C112" i="2"/>
  <c r="F85" i="2"/>
  <c r="L211" i="1"/>
  <c r="C20" i="10"/>
  <c r="G81" i="2"/>
  <c r="C62" i="2"/>
  <c r="C63" i="2" s="1"/>
  <c r="D56" i="2"/>
  <c r="G662" i="1"/>
  <c r="I662" i="1" s="1"/>
  <c r="C19" i="10"/>
  <c r="C15" i="10"/>
  <c r="G112" i="1"/>
  <c r="C26" i="10"/>
  <c r="K503" i="1"/>
  <c r="L382" i="1"/>
  <c r="G636" i="1" s="1"/>
  <c r="J636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K552" i="1" l="1"/>
  <c r="L545" i="1"/>
  <c r="J647" i="1"/>
  <c r="H646" i="1"/>
  <c r="I661" i="1"/>
  <c r="H664" i="1"/>
  <c r="H667" i="1" s="1"/>
  <c r="C27" i="10"/>
  <c r="C28" i="10" s="1"/>
  <c r="D19" i="10" s="1"/>
  <c r="C115" i="2"/>
  <c r="H648" i="1"/>
  <c r="J648" i="1" s="1"/>
  <c r="E33" i="13"/>
  <c r="D35" i="13" s="1"/>
  <c r="L257" i="1"/>
  <c r="L271" i="1" s="1"/>
  <c r="G632" i="1" s="1"/>
  <c r="J632" i="1" s="1"/>
  <c r="C128" i="2"/>
  <c r="F660" i="1"/>
  <c r="F664" i="1" s="1"/>
  <c r="F667" i="1" s="1"/>
  <c r="C104" i="2"/>
  <c r="G664" i="1"/>
  <c r="I461" i="1"/>
  <c r="H642" i="1" s="1"/>
  <c r="J64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I660" i="1"/>
  <c r="I664" i="1" s="1"/>
  <c r="I672" i="1" s="1"/>
  <c r="C7" i="10" s="1"/>
  <c r="F672" i="1"/>
  <c r="C4" i="10" s="1"/>
  <c r="D22" i="10"/>
  <c r="D23" i="10"/>
  <c r="D24" i="10"/>
  <c r="D27" i="10"/>
  <c r="D18" i="10"/>
  <c r="D11" i="10"/>
  <c r="C30" i="10"/>
  <c r="D10" i="10"/>
  <c r="D21" i="10"/>
  <c r="D26" i="10"/>
  <c r="D12" i="10"/>
  <c r="D13" i="10"/>
  <c r="D17" i="10"/>
  <c r="D16" i="10"/>
  <c r="D20" i="10"/>
  <c r="D15" i="10"/>
  <c r="D25" i="10"/>
  <c r="G667" i="1"/>
  <c r="G672" i="1"/>
  <c r="C5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<sst xmlns="http://schemas.openxmlformats.org/spreadsheetml/2006/main" count="3956" uniqueCount="914">
  <si>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</si>
  <si>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</si>
  <si>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</si>
  <si>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</si>
  <si>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</si>
  <si>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</si>
  <si>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</si>
  <si>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</si>
  <si>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</si>
  <si>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</si>
  <si>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</si>
  <si>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</si>
  <si>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</si>
  <si>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</si>
  <si>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</si>
  <si>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</si>
  <si>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</si>
  <si>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</si>
  <si>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</si>
  <si>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</si>
  <si>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</si>
  <si>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</si>
  <si>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</si>
  <si>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</si>
  <si>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</si>
  <si>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</si>
  <si>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</si>
  <si>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</si>
  <si>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</si>
  <si>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</si>
  <si>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</si>
  <si>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</si>
  <si>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</si>
  <si>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</si>
  <si>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</si>
  <si>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</si>
  <si>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</si>
  <si>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</si>
  <si>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</si>
  <si>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</si>
  <si>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</si>
  <si>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</si>
  <si>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</si>
  <si>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</si>
  <si>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</si>
  <si>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</si>
  <si>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</si>
  <si>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</si>
  <si>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</si>
  <si>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</si>
  <si>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</si>
  <si>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</si>
  <si>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</si>
  <si>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</si>
  <si>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</si>
  <si>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</si>
  <si>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</si>
  <si>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</si>
  <si>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</si>
  <si>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</si>
  <si>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</si>
  <si>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</si>
  <si>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</si>
  <si>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</si>
  <si>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</si>
  <si>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</si>
  <si>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</si>
  <si>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</si>
  <si>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</si>
  <si>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</si>
  <si>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</si>
  <si>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</si>
  <si>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</si>
  <si>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</si>
  <si>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</si>
  <si>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</si>
  <si>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</si>
  <si>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</si>
  <si>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</si>
  <si>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</si>
  <si>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</si>
  <si>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</si>
  <si>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</si>
  <si>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</si>
  <si>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</si>
  <si>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</si>
  <si>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</si>
  <si>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</si>
  <si>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</si>
  <si>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</si>
  <si>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</si>
  <si>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</si>
  <si>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</si>
  <si>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</si>
  <si>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</si>
  <si>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</si>
  <si>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</si>
  <si>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</si>
  <si>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</si>
  <si>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</si>
  <si>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</si>
  <si>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</si>
  <si>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</si>
  <si>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</si>
  <si>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</si>
  <si>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</si>
  <si>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</si>
  <si>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</si>
  <si>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</si>
  <si>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</si>
  <si>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</si>
  <si>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</si>
  <si>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</si>
  <si>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</si>
  <si>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</si>
  <si>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</si>
  <si>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</si>
  <si>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</si>
  <si>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</si>
  <si>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</si>
  <si>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</si>
  <si>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</si>
  <si>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</si>
  <si>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</si>
  <si>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</si>
  <si>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</si>
  <si>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</si>
  <si>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</si>
  <si>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</si>
  <si>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</si>
  <si>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</si>
  <si>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</si>
  <si>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</si>
  <si>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</si>
  <si>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</si>
  <si>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</si>
  <si>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</si>
  <si>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</si>
  <si>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</si>
  <si>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</si>
  <si>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</si>
  <si>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</si>
  <si>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</si>
  <si>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</si>
  <si>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</si>
  <si>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</si>
  <si>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</si>
  <si>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</si>
  <si>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</si>
  <si>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</si>
  <si>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</si>
  <si>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</si>
  <si>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</si>
  <si>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</si>
  <si>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</si>
  <si>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</si>
  <si>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</si>
  <si>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</si>
  <si>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</si>
  <si>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</si>
  <si>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</si>
  <si>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</si>
  <si>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</si>
  <si>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</si>
  <si>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</si>
  <si>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</si>
  <si>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</si>
  <si>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</si>
  <si>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</si>
  <si>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</si>
  <si>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</si>
  <si>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</si>
  <si>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</si>
  <si>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</si>
  <si>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</si>
  <si>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</si>
  <si>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</si>
  <si>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</si>
  <si>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</si>
  <si>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</si>
  <si>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</si>
  <si>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</si>
  <si>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</si>
  <si>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</si>
  <si>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</si>
  <si>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</si>
  <si>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</si>
  <si>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</si>
  <si>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</si>
  <si>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</si>
  <si>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</si>
  <si>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</si>
  <si>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</si>
  <si>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</si>
  <si>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</si>
  <si>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</si>
  <si>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</si>
  <si>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</si>
  <si>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</si>
  <si>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</si>
  <si>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</si>
  <si>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</si>
  <si>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</si>
  <si>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</si>
  <si>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</si>
  <si>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</si>
  <si>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</si>
  <si>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</si>
  <si>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</si>
  <si>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</si>
  <si>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</si>
  <si>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</si>
  <si>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</si>
  <si>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</si>
  <si>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</si>
  <si>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</si>
  <si>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</si>
  <si>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</si>
  <si>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</si>
  <si>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</si>
  <si>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</si>
  <si>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</si>
  <si>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</si>
  <si>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</si>
  <si>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</si>
  <si>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</si>
  <si>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</si>
  <si>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</si>
  <si>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</si>
  <si>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</si>
  <si>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</si>
  <si>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</si>
  <si>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</si>
  <si>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</si>
  <si>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</si>
  <si>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</si>
  <si>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</si>
  <si>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</si>
  <si>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</si>
  <si>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</si>
  <si>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</si>
  <si>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</si>
  <si>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</si>
  <si>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</si>
  <si>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</si>
  <si>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</si>
  <si>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</si>
  <si>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</si>
  <si>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</si>
  <si>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</si>
  <si>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</si>
  <si>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</si>
  <si>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</si>
  <si>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</si>
  <si>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</si>
  <si>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</si>
  <si>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</si>
  <si>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</si>
  <si>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</si>
  <si>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</si>
  <si>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</si>
  <si>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</si>
  <si>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</si>
  <si>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</si>
  <si>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</si>
  <si>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</si>
  <si>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</si>
  <si>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</si>
  <si>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</si>
  <si>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</si>
  <si>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</si>
  <si>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</si>
  <si>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</si>
  <si>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</si>
  <si>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</si>
  <si>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</si>
  <si>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</si>
  <si>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</si>
  <si>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</si>
  <si>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</si>
  <si>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</si>
  <si>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</si>
  <si>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</si>
  <si>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</si>
  <si>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</si>
  <si>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</si>
  <si>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</si>
  <si>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</si>
  <si>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</si>
  <si>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</si>
  <si>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</si>
  <si>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</si>
  <si>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</si>
  <si>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</si>
  <si>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</si>
  <si>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</si>
  <si>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</si>
  <si>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</si>
  <si>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</si>
  <si>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</si>
  <si>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</si>
  <si>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</si>
  <si>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</si>
  <si>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</si>
  <si>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</si>
  <si>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</si>
  <si>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</si>
  <si>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</si>
  <si>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</si>
  <si>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</si>
  <si>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</si>
  <si>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</si>
  <si>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</si>
  <si>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</si>
  <si>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</si>
  <si>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</si>
  <si>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</si>
  <si>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</si>
  <si>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</si>
  <si>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</si>
  <si>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</si>
  <si>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</si>
  <si>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</si>
  <si>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</si>
  <si>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</si>
  <si>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</si>
  <si>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</si>
  <si>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</si>
  <si>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</si>
  <si>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</si>
  <si>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</si>
  <si>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</si>
  <si>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</si>
  <si>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</si>
  <si>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</si>
  <si>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</si>
  <si>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</si>
  <si>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</si>
  <si>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</si>
  <si>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</si>
  <si>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</si>
  <si>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</si>
  <si>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</si>
  <si>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</si>
  <si>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</si>
  <si>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</si>
  <si>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</si>
  <si>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</si>
  <si>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</si>
  <si>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</si>
  <si>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</si>
  <si>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</si>
  <si>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</si>
  <si>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</si>
  <si>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</si>
  <si>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</si>
  <si>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</si>
  <si>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</si>
  <si>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</si>
  <si>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</si>
  <si>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</si>
  <si>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</si>
  <si>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</si>
  <si>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</si>
  <si>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</si>
  <si>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</si>
  <si>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</si>
  <si>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</si>
  <si>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</si>
  <si>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</si>
  <si>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</si>
  <si>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</si>
  <si>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</si>
  <si>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</si>
  <si>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</si>
  <si>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</si>
  <si>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</si>
  <si>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</si>
  <si>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</si>
  <si>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</si>
  <si>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</si>
  <si>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</si>
  <si>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</si>
  <si>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</si>
  <si>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</si>
  <si>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</si>
  <si>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</si>
  <si>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</si>
  <si>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</si>
  <si>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</si>
  <si>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</si>
  <si>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</si>
  <si>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</si>
  <si>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</si>
  <si>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</si>
  <si>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</si>
  <si>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</si>
  <si>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</si>
  <si>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</si>
  <si>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</si>
  <si>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</si>
  <si>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</si>
  <si>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</si>
  <si>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</si>
  <si>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</si>
  <si>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</si>
  <si>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</si>
  <si>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</si>
  <si>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</si>
  <si>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</si>
  <si>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</si>
  <si>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</si>
  <si>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</si>
  <si>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</si>
  <si>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</si>
  <si>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</si>
  <si>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</si>
  <si>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</si>
  <si>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</si>
  <si>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</si>
  <si>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</si>
  <si>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</si>
  <si>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</si>
  <si>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</si>
  <si>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</si>
  <si>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</si>
  <si>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</si>
  <si>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</si>
  <si>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</si>
  <si>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</si>
  <si>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</si>
  <si>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</si>
  <si>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</si>
  <si>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</si>
  <si>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</si>
  <si>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</si>
  <si>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</si>
  <si>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</si>
  <si>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</si>
  <si>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</si>
  <si>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</si>
  <si>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</si>
  <si>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</si>
  <si>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</si>
  <si>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</si>
  <si>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</si>
  <si>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</si>
  <si>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</si>
  <si>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</si>
  <si>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</si>
  <si>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</si>
  <si>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</si>
  <si>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</si>
  <si>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</si>
  <si>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</si>
  <si>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</si>
  <si>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</si>
  <si>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</si>
  <si>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</si>
  <si>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</si>
  <si>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</si>
  <si>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</si>
  <si>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</si>
  <si>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</si>
  <si>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</si>
  <si>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</si>
  <si>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</si>
  <si>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</si>
  <si>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</si>
  <si>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</si>
  <si>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</si>
  <si>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</si>
  <si>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</si>
  <si>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</si>
  <si>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</si>
  <si>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</si>
  <si>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</si>
  <si>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</si>
  <si>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</si>
  <si>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</si>
  <si>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</si>
  <si>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</si>
  <si>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</si>
  <si>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</si>
  <si>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</si>
  <si>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</si>
  <si>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</si>
  <si>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</si>
  <si>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</si>
  <si>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</si>
  <si>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</si>
  <si>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</si>
  <si>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</si>
  <si>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</si>
  <si>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</si>
  <si>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</si>
  <si>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</si>
  <si>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</si>
  <si>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</si>
  <si>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</si>
  <si>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</si>
  <si>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</si>
  <si>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</si>
  <si>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</si>
  <si>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</si>
  <si>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</si>
  <si>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</si>
  <si>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</si>
  <si>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</si>
  <si>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</si>
  <si>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</si>
  <si>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</si>
  <si>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</si>
  <si>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</si>
  <si>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</si>
  <si>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</si>
  <si>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</si>
  <si>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</si>
  <si>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</si>
  <si>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</si>
  <si>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</si>
  <si>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</si>
  <si>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</si>
  <si>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</si>
  <si>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</si>
  <si>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</si>
  <si>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</si>
  <si>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</si>
  <si>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</si>
  <si>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</si>
  <si>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</si>
  <si>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</si>
  <si>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</si>
  <si>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</si>
  <si>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</si>
  <si>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</si>
  <si>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</si>
  <si>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</si>
  <si>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</si>
  <si>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</si>
  <si>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</si>
  <si>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</si>
  <si>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</si>
  <si>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</si>
  <si>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</si>
  <si>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</si>
  <si>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</si>
  <si>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</si>
  <si>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</si>
  <si>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</si>
  <si>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</si>
  <si>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</si>
  <si>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</si>
  <si>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</si>
  <si>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</si>
  <si>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</si>
  <si>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</si>
  <si>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</si>
  <si>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</si>
  <si>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</si>
  <si>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</si>
  <si>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</si>
  <si>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</si>
  <si>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</si>
  <si>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</si>
  <si>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</si>
  <si>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</si>
  <si>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</si>
  <si>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</si>
  <si>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</si>
  <si>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</si>
  <si>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</si>
  <si>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</si>
  <si>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</si>
  <si>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</si>
  <si>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</si>
  <si>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</si>
  <si>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</si>
  <si>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</si>
  <si>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</si>
  <si>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</si>
  <si>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</si>
  <si>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</si>
  <si>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</si>
  <si>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</si>
  <si>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</si>
  <si>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</si>
  <si>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</si>
  <si>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</si>
  <si>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</si>
  <si>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</si>
  <si>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</si>
  <si>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</si>
  <si>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</si>
  <si>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</si>
  <si>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</si>
  <si>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</si>
  <si>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</si>
  <si>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</si>
  <si>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</si>
  <si>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</si>
  <si>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</si>
  <si>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</si>
  <si>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</si>
  <si>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</si>
  <si>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</si>
  <si>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</si>
  <si>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</si>
  <si>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</si>
  <si>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</si>
  <si>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</si>
  <si>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</si>
  <si>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</si>
  <si>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</si>
  <si>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</si>
  <si>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</si>
  <si>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</si>
  <si>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</si>
  <si>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</si>
  <si>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</si>
  <si>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</si>
  <si>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</si>
  <si>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</si>
  <si>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</si>
  <si>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</si>
  <si>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</si>
  <si>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</si>
  <si>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</si>
  <si>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</si>
  <si>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</si>
  <si>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</si>
  <si>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</si>
  <si>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</si>
  <si>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</si>
  <si>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</si>
  <si>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</si>
  <si>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</si>
  <si>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</si>
  <si>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</si>
  <si>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</si>
  <si>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</si>
  <si>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</si>
  <si>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</si>
  <si>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</si>
  <si>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</si>
  <si>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</si>
  <si>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</si>
  <si>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</si>
  <si>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</si>
  <si>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</si>
  <si>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</si>
  <si>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</si>
  <si>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</si>
  <si>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</si>
  <si>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</si>
  <si>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</si>
  <si>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</si>
  <si>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</si>
  <si>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</si>
  <si>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</si>
  <si>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</si>
  <si>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</si>
  <si>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</si>
  <si>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</si>
  <si>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</si>
  <si>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</si>
  <si>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</si>
  <si>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</si>
  <si>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</si>
  <si>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</si>
  <si>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</si>
  <si>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</si>
  <si>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</si>
  <si>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</si>
  <si>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</si>
  <si>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</si>
  <si>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</si>
  <si>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</si>
  <si>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</si>
  <si>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</si>
  <si>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</si>
  <si>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</si>
  <si>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</si>
  <si>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</si>
  <si>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</si>
  <si>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</si>
  <si>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</si>
  <si>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</si>
  <si>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</si>
  <si>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</si>
  <si>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</si>
  <si>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</si>
  <si>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</si>
  <si>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</si>
  <si>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</si>
  <si>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</si>
  <si>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</si>
  <si>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</si>
  <si>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</si>
  <si>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</si>
  <si>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</si>
  <si>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</si>
  <si>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</si>
  <si>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</si>
  <si>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</si>
  <si>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</si>
  <si>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</si>
  <si>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</si>
  <si>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</si>
  <si>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</si>
  <si>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</si>
  <si>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</si>
  <si>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</si>
  <si>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</si>
  <si>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</si>
  <si>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</si>
  <si>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</si>
  <si>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</si>
  <si>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</si>
  <si>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</si>
  <si>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</si>
  <si>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</si>
  <si>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</si>
  <si>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</si>
  <si>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</si>
  <si>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</si>
  <si>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</si>
  <si>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</si>
  <si>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</si>
  <si>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</si>
  <si>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</si>
  <si>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</si>
  <si>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</si>
  <si>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</si>
  <si>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</si>
  <si>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</si>
  <si>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</si>
  <si>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</si>
  <si>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</si>
  <si>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</si>
  <si>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</si>
  <si>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</si>
  <si>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</si>
  <si>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</si>
  <si>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</si>
  <si>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</si>
  <si>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</si>
  <si>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</si>
  <si>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</si>
  <si>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</si>
  <si>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</si>
  <si>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</si>
  <si>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</si>
  <si>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</si>
  <si>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</si>
  <si>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</si>
  <si>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</si>
  <si>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</si>
  <si>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</si>
  <si>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</si>
  <si>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</si>
  <si>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</si>
  <si>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</si>
  <si>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</si>
  <si>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</si>
  <si>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</si>
  <si>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</si>
  <si>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</si>
  <si>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</si>
  <si>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</si>
  <si>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</si>
  <si>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</si>
  <si>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</si>
  <si>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</si>
  <si>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</si>
  <si>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</si>
  <si>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</si>
  <si>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</si>
  <si>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</si>
  <si>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</si>
  <si>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</si>
  <si>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</si>
  <si>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</si>
  <si>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</si>
  <si>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</si>
  <si>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</si>
  <si>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</si>
  <si>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</si>
  <si>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</si>
  <si>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</si>
  <si>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</si>
  <si>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</si>
  <si>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</si>
  <si>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</si>
  <si>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</si>
  <si>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</si>
  <si>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</si>
  <si>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</si>
  <si>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</si>
  <si>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</si>
  <si>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</si>
  <si>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</si>
  <si>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</si>
  <si>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</si>
  <si>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</si>
  <si>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</si>
  <si>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</si>
  <si>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</si>
  <si>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</si>
  <si>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</si>
  <si>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</si>
  <si>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</si>
  <si>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</si>
  <si>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</si>
  <si>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</si>
  <si>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</si>
  <si>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</si>
  <si>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</si>
  <si>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</si>
  <si>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</si>
  <si>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</si>
  <si>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</si>
  <si>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</si>
  <si>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</si>
  <si>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</si>
  <si>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</si>
  <si>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</si>
  <si>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</si>
  <si>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</si>
  <si>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</si>
  <si>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</si>
  <si>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</si>
  <si>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</si>
  <si>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</si>
  <si>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</si>
  <si>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</si>
  <si>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</si>
  <si>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</si>
  <si>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</si>
  <si>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</si>
  <si>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</si>
  <si>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</si>
  <si>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</si>
  <si>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</si>
  <si>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</si>
  <si>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</si>
  <si>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</si>
  <si>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</si>
  <si>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</si>
  <si>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</si>
  <si>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</si>
  <si>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</si>
  <si>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</si>
  <si>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</si>
  <si>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</si>
  <si>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</si>
  <si>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</si>
  <si>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</si>
  <si>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</si>
  <si>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</si>
  <si>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</si>
  <si>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</si>
  <si>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</si>
  <si>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</si>
  <si>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</si>
  <si>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</si>
  <si>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</si>
  <si>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</si>
  <si>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</si>
  <si>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</si>
  <si>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</si>
  <si>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</si>
  <si>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</si>
  <si>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</si>
  <si>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</si>
  <si>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</si>
  <si>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</si>
  <si>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</si>
  <si>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</si>
  <si>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</si>
  <si>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</si>
  <si>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</si>
  <si>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</si>
  <si>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</si>
  <si>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</si>
  <si>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</si>
  <si>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</si>
  <si>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</si>
  <si>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</si>
  <si>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</si>
  <si>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</si>
  <si>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</si>
  <si>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</si>
  <si>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</si>
  <si>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</si>
  <si>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</si>
  <si>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</si>
  <si>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</si>
  <si>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</si>
  <si>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</si>
  <si>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</si>
  <si>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</si>
  <si>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</si>
  <si>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</si>
  <si>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</si>
  <si>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</si>
  <si>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</si>
  <si>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</si>
  <si>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</si>
  <si>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</si>
  <si>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</si>
  <si>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</si>
  <si>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Nottingham School District</t>
  </si>
  <si>
    <t>This is mostly due to the HealthTrust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</si>
</sst>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413</v>
      </c>
      <c r="C2" s="21">
        <v>413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965317.1</v>
      </c>
      <c r="G9" s="18"/>
      <c r="H9" s="18"/>
      <c r="I9" s="18"/>
      <c r="J9" s="67">
        <f>SUM(I439)</f>
        <v>200150.81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45897</v>
      </c>
      <c r="G12" s="18">
        <f>7831.7-516.32</f>
        <v>7315.38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79225.43-F12</f>
        <v>33328.429999999993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516.82000000000005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3203.3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1044542.53</v>
      </c>
      <c r="G19" s="41">
        <f>SUM(G9:G18)</f>
        <v>11035.5</v>
      </c>
      <c r="H19" s="41">
        <f>SUM(H9:H18)</f>
        <v>0</v>
      </c>
      <c r="I19" s="41">
        <f>SUM(I9:I18)</f>
        <v>0</v>
      </c>
      <c r="J19" s="41">
        <f>SUM(J9:J18)</f>
        <v>200150.81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7315.38</v>
      </c>
      <c r="G22" s="18"/>
      <c r="H22" s="18"/>
      <c r="I22" s="18"/>
      <c r="J22" s="67">
        <f>SUM(I448)</f>
        <v>45897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7726.33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305786.77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5881.86-330.92-112-26.2+67963.93+13318.67-1677.65-768.67-1273.17-2580+589.83+2860+4170.01+7529.55-3141.85</f>
        <v>92403.39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105.87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405505.54000000004</v>
      </c>
      <c r="G32" s="41">
        <f>SUM(G22:G31)</f>
        <v>7832.2</v>
      </c>
      <c r="H32" s="41">
        <f>SUM(H22:H31)</f>
        <v>0</v>
      </c>
      <c r="I32" s="41">
        <f>SUM(I22:I31)</f>
        <v>0</v>
      </c>
      <c r="J32" s="41">
        <f>SUM(J22:J31)</f>
        <v>45897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3203.3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30000+25000+15000+20000</f>
        <v>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60000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154253.81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489036.99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639036.99</v>
      </c>
      <c r="G51" s="41">
        <f>SUM(G35:G50)</f>
        <v>3203.3</v>
      </c>
      <c r="H51" s="41">
        <f>SUM(H35:H50)</f>
        <v>0</v>
      </c>
      <c r="I51" s="41">
        <f>SUM(I35:I50)</f>
        <v>0</v>
      </c>
      <c r="J51" s="41">
        <f>SUM(J35:J50)</f>
        <v>154253.81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1044542.53</v>
      </c>
      <c r="G52" s="41">
        <f>G51+G32</f>
        <v>11035.5</v>
      </c>
      <c r="H52" s="41">
        <f>H51+H32</f>
        <v>0</v>
      </c>
      <c r="I52" s="41">
        <f>I51+I32</f>
        <v>0</v>
      </c>
      <c r="J52" s="41">
        <f>J51+J32</f>
        <v>200150.81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7732046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7732046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1953.07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1953.07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88.09</v>
      </c>
      <c r="G96" s="18"/>
      <c r="H96" s="18"/>
      <c r="I96" s="18"/>
      <c r="J96" s="18">
        <v>262.35000000000002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83847.520000000004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77634.789999999994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78722.87999999999</v>
      </c>
      <c r="G111" s="41">
        <f>SUM(G96:G110)</f>
        <v>83847.520000000004</v>
      </c>
      <c r="H111" s="41">
        <f>SUM(H96:H110)</f>
        <v>0</v>
      </c>
      <c r="I111" s="41">
        <f>SUM(I96:I110)</f>
        <v>0</v>
      </c>
      <c r="J111" s="41">
        <f>SUM(J96:J110)</f>
        <v>262.35000000000002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7812721.9500000002</v>
      </c>
      <c r="G112" s="41">
        <f>G60+G111</f>
        <v>83847.520000000004</v>
      </c>
      <c r="H112" s="41">
        <f>H60+H79+H94+H111</f>
        <v>0</v>
      </c>
      <c r="I112" s="41">
        <f>I60+I111</f>
        <v>0</v>
      </c>
      <c r="J112" s="41">
        <f>J60+J111</f>
        <v>262.35000000000002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1470997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1260174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2731171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66641.3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2820.85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66641.3</v>
      </c>
      <c r="G136" s="41">
        <f>SUM(G123:G135)</f>
        <v>2820.85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2797812.3</v>
      </c>
      <c r="G140" s="41">
        <f>G121+SUM(G136:G137)</f>
        <v>2820.85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42749.05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81621.59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81621.59</v>
      </c>
      <c r="G162" s="41">
        <f>SUM(G150:G161)</f>
        <v>42749.05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81621.59</v>
      </c>
      <c r="G169" s="41">
        <f>G147+G162+SUM(G163:G168)</f>
        <v>42749.05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32186</v>
      </c>
      <c r="H179" s="18"/>
      <c r="I179" s="18"/>
      <c r="J179" s="18">
        <v>55000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32186</v>
      </c>
      <c r="H183" s="41">
        <f>SUM(H179:H182)</f>
        <v>0</v>
      </c>
      <c r="I183" s="41">
        <f>SUM(I179:I182)</f>
        <v>0</v>
      </c>
      <c r="J183" s="41">
        <f>SUM(J179:J182)</f>
        <v>55000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32186</v>
      </c>
      <c r="H192" s="41">
        <f>+H183+SUM(H188:H191)</f>
        <v>0</v>
      </c>
      <c r="I192" s="41">
        <f>I177+I183+SUM(I188:I191)</f>
        <v>0</v>
      </c>
      <c r="J192" s="41">
        <f>J183</f>
        <v>55000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10692155.84</v>
      </c>
      <c r="G193" s="47">
        <f>G112+G140+G169+G192</f>
        <v>161603.42000000001</v>
      </c>
      <c r="H193" s="47">
        <f>H112+H140+H169+H192</f>
        <v>0</v>
      </c>
      <c r="I193" s="47">
        <f>I112+I140+I169+I192</f>
        <v>0</v>
      </c>
      <c r="J193" s="47">
        <f>J112+J140+J192</f>
        <v>55262.35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2013189.07-600</f>
        <v>2012589.07</v>
      </c>
      <c r="G197" s="18">
        <v>991260.7</v>
      </c>
      <c r="H197" s="18">
        <v>19303.669999999998</v>
      </c>
      <c r="I197" s="18">
        <v>106429.44</v>
      </c>
      <c r="J197" s="18">
        <v>0</v>
      </c>
      <c r="K197" s="18">
        <v>75</v>
      </c>
      <c r="L197" s="19">
        <f>SUM(F197:K197)</f>
        <v>3129657.88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748532.1</v>
      </c>
      <c r="G198" s="18">
        <v>278379</v>
      </c>
      <c r="H198" s="18">
        <v>268453.03000000003</v>
      </c>
      <c r="I198" s="18">
        <v>3628.37</v>
      </c>
      <c r="J198" s="18">
        <v>1301.1500000000001</v>
      </c>
      <c r="K198" s="18">
        <v>7618.82</v>
      </c>
      <c r="L198" s="19">
        <f>SUM(F198:K198)</f>
        <v>1307912.47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30000</v>
      </c>
      <c r="G200" s="18">
        <v>4366.38</v>
      </c>
      <c r="H200" s="18">
        <v>4541.1000000000004</v>
      </c>
      <c r="I200" s="18">
        <v>2147.89</v>
      </c>
      <c r="J200" s="18">
        <v>1011.5</v>
      </c>
      <c r="K200" s="18">
        <v>555</v>
      </c>
      <c r="L200" s="19">
        <f>SUM(F200:K200)</f>
        <v>42621.869999999995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257462</v>
      </c>
      <c r="G202" s="18">
        <v>140919.31</v>
      </c>
      <c r="H202" s="18">
        <v>157339.62</v>
      </c>
      <c r="I202" s="18">
        <v>132</v>
      </c>
      <c r="J202" s="18">
        <v>1097.43</v>
      </c>
      <c r="K202" s="18">
        <v>0</v>
      </c>
      <c r="L202" s="19">
        <f t="shared" ref="L202:L208" si="0">SUM(F202:K202)</f>
        <v>556950.36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222893.92</v>
      </c>
      <c r="G203" s="18">
        <v>115721.41</v>
      </c>
      <c r="H203" s="18">
        <v>36938.959999999999</v>
      </c>
      <c r="I203" s="18">
        <v>17704.8</v>
      </c>
      <c r="J203" s="18">
        <v>5565</v>
      </c>
      <c r="K203" s="18">
        <v>125</v>
      </c>
      <c r="L203" s="19">
        <f t="shared" si="0"/>
        <v>398949.09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8909.35</v>
      </c>
      <c r="G204" s="18">
        <v>647.46</v>
      </c>
      <c r="H204" s="18">
        <v>295124.73</v>
      </c>
      <c r="I204" s="18">
        <v>0</v>
      </c>
      <c r="J204" s="18">
        <v>0</v>
      </c>
      <c r="K204" s="18">
        <v>2247.1</v>
      </c>
      <c r="L204" s="19">
        <f t="shared" si="0"/>
        <v>306928.63999999996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235171.12</v>
      </c>
      <c r="G205" s="18">
        <v>120547.02</v>
      </c>
      <c r="H205" s="18">
        <v>14134.19</v>
      </c>
      <c r="I205" s="18">
        <v>3992.1</v>
      </c>
      <c r="J205" s="18">
        <v>1215.3399999999999</v>
      </c>
      <c r="K205" s="18">
        <v>1530</v>
      </c>
      <c r="L205" s="19">
        <f t="shared" si="0"/>
        <v>376589.77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127976.15</v>
      </c>
      <c r="G207" s="18">
        <v>52898.87</v>
      </c>
      <c r="H207" s="18">
        <v>40904.42</v>
      </c>
      <c r="I207" s="18">
        <v>116933.71</v>
      </c>
      <c r="J207" s="18">
        <v>19500.62</v>
      </c>
      <c r="K207" s="18">
        <v>0</v>
      </c>
      <c r="L207" s="19">
        <f t="shared" si="0"/>
        <v>358213.77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498955.59</v>
      </c>
      <c r="I208" s="18">
        <v>0</v>
      </c>
      <c r="J208" s="18">
        <v>0</v>
      </c>
      <c r="K208" s="18">
        <v>0</v>
      </c>
      <c r="L208" s="19">
        <f t="shared" si="0"/>
        <v>498955.59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3643533.71</v>
      </c>
      <c r="G211" s="41">
        <f t="shared" si="1"/>
        <v>1704740.15</v>
      </c>
      <c r="H211" s="41">
        <f t="shared" si="1"/>
        <v>1335695.31</v>
      </c>
      <c r="I211" s="41">
        <f t="shared" si="1"/>
        <v>250968.31</v>
      </c>
      <c r="J211" s="41">
        <f t="shared" si="1"/>
        <v>29691.040000000001</v>
      </c>
      <c r="K211" s="41">
        <f t="shared" si="1"/>
        <v>12150.92</v>
      </c>
      <c r="L211" s="41">
        <f t="shared" si="1"/>
        <v>6976779.4399999995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f>2776618.34-4750</f>
        <v>2771868.34</v>
      </c>
      <c r="I233" s="18">
        <v>0</v>
      </c>
      <c r="J233" s="18">
        <v>0</v>
      </c>
      <c r="K233" s="18">
        <v>0</v>
      </c>
      <c r="L233" s="19">
        <f>SUM(F233:K233)</f>
        <v>2771868.34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1593.77</v>
      </c>
      <c r="G234" s="18">
        <v>0</v>
      </c>
      <c r="H234" s="18">
        <v>295470.28999999998</v>
      </c>
      <c r="I234" s="18">
        <v>0</v>
      </c>
      <c r="J234" s="18">
        <v>0</v>
      </c>
      <c r="K234" s="18">
        <v>0</v>
      </c>
      <c r="L234" s="19">
        <f>SUM(F234:K234)</f>
        <v>297064.06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1369.22</v>
      </c>
      <c r="I238" s="18">
        <v>0</v>
      </c>
      <c r="J238" s="18">
        <v>0</v>
      </c>
      <c r="K238" s="18">
        <v>0</v>
      </c>
      <c r="L238" s="19">
        <f t="shared" ref="L238:L244" si="4">SUM(F238:K238)</f>
        <v>1369.22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5173.75</v>
      </c>
      <c r="G240" s="18">
        <v>380.26</v>
      </c>
      <c r="H240" s="18">
        <v>173385.95</v>
      </c>
      <c r="I240" s="18">
        <v>0</v>
      </c>
      <c r="J240" s="18">
        <v>0</v>
      </c>
      <c r="K240" s="18">
        <v>1319.72</v>
      </c>
      <c r="L240" s="19">
        <f t="shared" si="4"/>
        <v>180259.68000000002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247206.99</v>
      </c>
      <c r="I244" s="18">
        <v>0</v>
      </c>
      <c r="J244" s="18">
        <v>0</v>
      </c>
      <c r="K244" s="18">
        <v>0</v>
      </c>
      <c r="L244" s="19">
        <f t="shared" si="4"/>
        <v>247206.99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6767.52</v>
      </c>
      <c r="G247" s="41">
        <f t="shared" si="5"/>
        <v>380.26</v>
      </c>
      <c r="H247" s="41">
        <f t="shared" si="5"/>
        <v>3489300.79</v>
      </c>
      <c r="I247" s="41">
        <f t="shared" si="5"/>
        <v>0</v>
      </c>
      <c r="J247" s="41">
        <f t="shared" si="5"/>
        <v>0</v>
      </c>
      <c r="K247" s="41">
        <f t="shared" si="5"/>
        <v>1319.72</v>
      </c>
      <c r="L247" s="41">
        <f t="shared" si="5"/>
        <v>3497768.29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3650301.23</v>
      </c>
      <c r="G257" s="41">
        <f t="shared" si="8"/>
        <v>1705120.41</v>
      </c>
      <c r="H257" s="41">
        <f t="shared" si="8"/>
        <v>4824996.0999999996</v>
      </c>
      <c r="I257" s="41">
        <f t="shared" si="8"/>
        <v>250968.31</v>
      </c>
      <c r="J257" s="41">
        <f t="shared" si="8"/>
        <v>29691.040000000001</v>
      </c>
      <c r="K257" s="41">
        <f t="shared" si="8"/>
        <v>13470.64</v>
      </c>
      <c r="L257" s="41">
        <f t="shared" si="8"/>
        <v>10474547.73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32186</v>
      </c>
      <c r="L263" s="19">
        <f>SUM(F263:K263)</f>
        <v>32186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55000</v>
      </c>
      <c r="L266" s="19">
        <f t="shared" si="9"/>
        <v>55000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4750</f>
        <v>4750</v>
      </c>
      <c r="L268" s="19">
        <f t="shared" si="9"/>
        <v>4750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91936</v>
      </c>
      <c r="L270" s="41">
        <f t="shared" si="9"/>
        <v>91936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3650301.23</v>
      </c>
      <c r="G271" s="42">
        <f t="shared" si="11"/>
        <v>1705120.41</v>
      </c>
      <c r="H271" s="42">
        <f t="shared" si="11"/>
        <v>4824996.0999999996</v>
      </c>
      <c r="I271" s="42">
        <f t="shared" si="11"/>
        <v>250968.31</v>
      </c>
      <c r="J271" s="42">
        <f t="shared" si="11"/>
        <v>29691.040000000001</v>
      </c>
      <c r="K271" s="42">
        <f t="shared" si="11"/>
        <v>105406.64</v>
      </c>
      <c r="L271" s="42">
        <f t="shared" si="11"/>
        <v>10566483.73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65351.48</v>
      </c>
      <c r="G358" s="18">
        <v>38045.199999999997</v>
      </c>
      <c r="H358" s="18">
        <v>802</v>
      </c>
      <c r="I358" s="18">
        <v>57587.58</v>
      </c>
      <c r="J358" s="18">
        <v>0</v>
      </c>
      <c r="K358" s="18">
        <v>0</v>
      </c>
      <c r="L358" s="13">
        <f>SUM(F358:K358)</f>
        <v>161786.26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65351.48</v>
      </c>
      <c r="G362" s="47">
        <f t="shared" si="22"/>
        <v>38045.199999999997</v>
      </c>
      <c r="H362" s="47">
        <f t="shared" si="22"/>
        <v>802</v>
      </c>
      <c r="I362" s="47">
        <f t="shared" si="22"/>
        <v>57587.58</v>
      </c>
      <c r="J362" s="47">
        <f t="shared" si="22"/>
        <v>0</v>
      </c>
      <c r="K362" s="47">
        <f t="shared" si="22"/>
        <v>0</v>
      </c>
      <c r="L362" s="47">
        <f t="shared" si="22"/>
        <v>161786.26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55185.08</v>
      </c>
      <c r="G367" s="18">
        <v>0</v>
      </c>
      <c r="H367" s="18">
        <v>0</v>
      </c>
      <c r="I367" s="56">
        <f>SUM(F367:H367)</f>
        <v>55185.08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2402.5</v>
      </c>
      <c r="G368" s="63">
        <v>0</v>
      </c>
      <c r="H368" s="63">
        <v>0</v>
      </c>
      <c r="I368" s="56">
        <f>SUM(F368:H368)</f>
        <v>2402.5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57587.58</v>
      </c>
      <c r="G369" s="47">
        <f>SUM(G367:G368)</f>
        <v>0</v>
      </c>
      <c r="H369" s="47">
        <f>SUM(H367:H368)</f>
        <v>0</v>
      </c>
      <c r="I369" s="47">
        <f>SUM(I367:I368)</f>
        <v>57587.58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55000</v>
      </c>
      <c r="H396" s="18">
        <v>127.15</v>
      </c>
      <c r="I396" s="18"/>
      <c r="J396" s="24" t="s">
        <v>289</v>
      </c>
      <c r="K396" s="24" t="s">
        <v>289</v>
      </c>
      <c r="L396" s="56">
        <f t="shared" si="26"/>
        <v>55127.15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135.19999999999999</v>
      </c>
      <c r="I397" s="18"/>
      <c r="J397" s="24" t="s">
        <v>289</v>
      </c>
      <c r="K397" s="24" t="s">
        <v>289</v>
      </c>
      <c r="L397" s="56">
        <f t="shared" si="26"/>
        <v>135.19999999999999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55000</v>
      </c>
      <c r="H401" s="47">
        <f>SUM(H395:H400)</f>
        <v>262.35000000000002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55262.35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55000</v>
      </c>
      <c r="H408" s="47">
        <f>H393+H401+H407</f>
        <v>262.35000000000002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55262.35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45897</v>
      </c>
      <c r="I422" s="18"/>
      <c r="J422" s="18"/>
      <c r="K422" s="18"/>
      <c r="L422" s="56">
        <f t="shared" si="29"/>
        <v>45897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45897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45897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45897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45897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200150.81</v>
      </c>
      <c r="G439" s="18"/>
      <c r="H439" s="18"/>
      <c r="I439" s="56">
        <f t="shared" ref="I439:I445" si="33">SUM(F439:H439)</f>
        <v>200150.81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200150.81</v>
      </c>
      <c r="G446" s="13">
        <f>SUM(G439:G445)</f>
        <v>0</v>
      </c>
      <c r="H446" s="13">
        <f>SUM(H439:H445)</f>
        <v>0</v>
      </c>
      <c r="I446" s="13">
        <f>SUM(I439:I445)</f>
        <v>200150.81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45897</v>
      </c>
      <c r="G448" s="18"/>
      <c r="H448" s="18"/>
      <c r="I448" s="56">
        <f>SUM(F448:H448)</f>
        <v>45897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45897</v>
      </c>
      <c r="G452" s="72">
        <f>SUM(G448:G451)</f>
        <v>0</v>
      </c>
      <c r="H452" s="72">
        <f>SUM(H448:H451)</f>
        <v>0</v>
      </c>
      <c r="I452" s="72">
        <f>SUM(I448:I451)</f>
        <v>45897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154253.81</v>
      </c>
      <c r="G459" s="18"/>
      <c r="H459" s="18"/>
      <c r="I459" s="56">
        <f t="shared" si="34"/>
        <v>154253.81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154253.81</v>
      </c>
      <c r="G460" s="83">
        <f>SUM(G454:G459)</f>
        <v>0</v>
      </c>
      <c r="H460" s="83">
        <f>SUM(H454:H459)</f>
        <v>0</v>
      </c>
      <c r="I460" s="83">
        <f>SUM(I454:I459)</f>
        <v>154253.81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200150.81</v>
      </c>
      <c r="G461" s="42">
        <f>G452+G460</f>
        <v>0</v>
      </c>
      <c r="H461" s="42">
        <f>H452+H460</f>
        <v>0</v>
      </c>
      <c r="I461" s="42">
        <f>I452+I460</f>
        <v>200150.81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513364.88</v>
      </c>
      <c r="G465" s="18">
        <v>3386.14</v>
      </c>
      <c r="H465" s="18"/>
      <c r="I465" s="18"/>
      <c r="J465" s="18">
        <v>144888.46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10692155.84</v>
      </c>
      <c r="G468" s="18">
        <v>161603.42000000001</v>
      </c>
      <c r="H468" s="18"/>
      <c r="I468" s="18"/>
      <c r="J468" s="18">
        <v>55262.35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10692155.84</v>
      </c>
      <c r="G470" s="53">
        <f>SUM(G468:G469)</f>
        <v>161603.42000000001</v>
      </c>
      <c r="H470" s="53">
        <f>SUM(H468:H469)</f>
        <v>0</v>
      </c>
      <c r="I470" s="53">
        <f>SUM(I468:I469)</f>
        <v>0</v>
      </c>
      <c r="J470" s="53">
        <f>SUM(J468:J469)</f>
        <v>55262.35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10726230.81+2039.18-161786.26</f>
        <v>10566483.73</v>
      </c>
      <c r="G472" s="18">
        <v>161786.26</v>
      </c>
      <c r="H472" s="18"/>
      <c r="I472" s="18"/>
      <c r="J472" s="18">
        <v>45897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10566483.73</v>
      </c>
      <c r="G474" s="53">
        <f>SUM(G472:G473)</f>
        <v>161786.26</v>
      </c>
      <c r="H474" s="53">
        <f>SUM(H472:H473)</f>
        <v>0</v>
      </c>
      <c r="I474" s="53">
        <f>SUM(I472:I473)</f>
        <v>0</v>
      </c>
      <c r="J474" s="53">
        <f>SUM(J472:J473)</f>
        <v>45897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639036.99000000022</v>
      </c>
      <c r="G476" s="53">
        <f>(G465+G470)- G474</f>
        <v>3203.3000000000175</v>
      </c>
      <c r="H476" s="53">
        <f>(H465+H470)- H474</f>
        <v>0</v>
      </c>
      <c r="I476" s="53">
        <f>(I465+I470)- I474</f>
        <v>0</v>
      </c>
      <c r="J476" s="53">
        <f>(J465+J470)- J474</f>
        <v>154253.81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748532.1+1593.77</f>
        <v>750125.87</v>
      </c>
      <c r="G521" s="18">
        <v>278379</v>
      </c>
      <c r="H521" s="18">
        <v>268453.03000000003</v>
      </c>
      <c r="I521" s="18">
        <v>3628.37</v>
      </c>
      <c r="J521" s="18">
        <v>1301.1500000000001</v>
      </c>
      <c r="K521" s="18">
        <v>7618.82</v>
      </c>
      <c r="L521" s="88">
        <f>SUM(F521:K521)</f>
        <v>1309506.24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295470.28999999998</v>
      </c>
      <c r="I523" s="18"/>
      <c r="J523" s="18"/>
      <c r="K523" s="18"/>
      <c r="L523" s="88">
        <f>SUM(F523:K523)</f>
        <v>295470.28999999998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750125.87</v>
      </c>
      <c r="G524" s="108">
        <f t="shared" ref="G524:L524" si="36">SUM(G521:G523)</f>
        <v>278379</v>
      </c>
      <c r="H524" s="108">
        <f t="shared" si="36"/>
        <v>563923.32000000007</v>
      </c>
      <c r="I524" s="108">
        <f t="shared" si="36"/>
        <v>3628.37</v>
      </c>
      <c r="J524" s="108">
        <f t="shared" si="36"/>
        <v>1301.1500000000001</v>
      </c>
      <c r="K524" s="108">
        <f t="shared" si="36"/>
        <v>7618.82</v>
      </c>
      <c r="L524" s="89">
        <f t="shared" si="36"/>
        <v>1604976.53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157025.62</v>
      </c>
      <c r="I526" s="18"/>
      <c r="J526" s="18"/>
      <c r="K526" s="18"/>
      <c r="L526" s="88">
        <f>SUM(F526:K526)</f>
        <v>157025.62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157025.62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157025.62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51512.959999999999</v>
      </c>
      <c r="I531" s="18"/>
      <c r="J531" s="18"/>
      <c r="K531" s="18"/>
      <c r="L531" s="88">
        <f>SUM(F531:K531)</f>
        <v>51512.959999999999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30253.64</v>
      </c>
      <c r="I533" s="18"/>
      <c r="J533" s="18"/>
      <c r="K533" s="18"/>
      <c r="L533" s="88">
        <f>SUM(F533:K533)</f>
        <v>30253.64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81766.600000000006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81766.600000000006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112973.75</v>
      </c>
      <c r="I541" s="18"/>
      <c r="J541" s="18"/>
      <c r="K541" s="18"/>
      <c r="L541" s="88">
        <f>SUM(F541:K541)</f>
        <v>112973.75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24380.17</v>
      </c>
      <c r="I543" s="18"/>
      <c r="J543" s="18"/>
      <c r="K543" s="18"/>
      <c r="L543" s="88">
        <f>SUM(F543:K543)</f>
        <v>24380.17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137353.91999999998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137353.91999999998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750125.87</v>
      </c>
      <c r="G545" s="89">
        <f t="shared" ref="G545:L545" si="41">G524+G529+G534+G539+G544</f>
        <v>278379</v>
      </c>
      <c r="H545" s="89">
        <f t="shared" si="41"/>
        <v>940069.46</v>
      </c>
      <c r="I545" s="89">
        <f t="shared" si="41"/>
        <v>3628.37</v>
      </c>
      <c r="J545" s="89">
        <f t="shared" si="41"/>
        <v>1301.1500000000001</v>
      </c>
      <c r="K545" s="89">
        <f t="shared" si="41"/>
        <v>7618.82</v>
      </c>
      <c r="L545" s="89">
        <f t="shared" si="41"/>
        <v>1981122.67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1309506.24</v>
      </c>
      <c r="G549" s="87">
        <f>L526</f>
        <v>157025.62</v>
      </c>
      <c r="H549" s="87">
        <f>L531</f>
        <v>51512.959999999999</v>
      </c>
      <c r="I549" s="87">
        <f>L536</f>
        <v>0</v>
      </c>
      <c r="J549" s="87">
        <f>L541</f>
        <v>112973.75</v>
      </c>
      <c r="K549" s="87">
        <f>SUM(F549:J549)</f>
        <v>1631018.5699999998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295470.28999999998</v>
      </c>
      <c r="G551" s="87">
        <f>L528</f>
        <v>0</v>
      </c>
      <c r="H551" s="87">
        <f>L533</f>
        <v>30253.64</v>
      </c>
      <c r="I551" s="87">
        <f>L538</f>
        <v>0</v>
      </c>
      <c r="J551" s="87">
        <f>L543</f>
        <v>24380.17</v>
      </c>
      <c r="K551" s="87">
        <f>SUM(F551:J551)</f>
        <v>350104.1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1604976.53</v>
      </c>
      <c r="G552" s="89">
        <f t="shared" si="42"/>
        <v>157025.62</v>
      </c>
      <c r="H552" s="89">
        <f t="shared" si="42"/>
        <v>81766.600000000006</v>
      </c>
      <c r="I552" s="89">
        <f t="shared" si="42"/>
        <v>0</v>
      </c>
      <c r="J552" s="89">
        <f t="shared" si="42"/>
        <v>137353.91999999998</v>
      </c>
      <c r="K552" s="89">
        <f t="shared" si="42"/>
        <v>1981122.67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1071318.4099999999</v>
      </c>
      <c r="I575" s="87">
        <f>SUM(F575:H575)</f>
        <v>1071318.4099999999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1705299.93</v>
      </c>
      <c r="I577" s="87">
        <f t="shared" si="47"/>
        <v>1705299.93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99457.45</v>
      </c>
      <c r="G578" s="18"/>
      <c r="H578" s="18"/>
      <c r="I578" s="87">
        <f t="shared" si="47"/>
        <v>99457.45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153702.19</v>
      </c>
      <c r="G579" s="18"/>
      <c r="H579" s="18">
        <v>42670</v>
      </c>
      <c r="I579" s="87">
        <f t="shared" si="47"/>
        <v>196372.19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65381.22</v>
      </c>
      <c r="I581" s="87">
        <f t="shared" si="47"/>
        <v>65381.22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376014.6</v>
      </c>
      <c r="I591" s="18">
        <v>0</v>
      </c>
      <c r="J591" s="18">
        <v>222826.82</v>
      </c>
      <c r="K591" s="104">
        <f t="shared" ref="K591:K597" si="48">SUM(H591:J591)</f>
        <v>598841.41999999993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112973.75</v>
      </c>
      <c r="I592" s="18">
        <v>0</v>
      </c>
      <c r="J592" s="18">
        <v>24380.17</v>
      </c>
      <c r="K592" s="104">
        <f t="shared" si="48"/>
        <v>137353.91999999998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4422</v>
      </c>
      <c r="I594" s="18">
        <v>0</v>
      </c>
      <c r="J594" s="18">
        <v>0</v>
      </c>
      <c r="K594" s="104">
        <f t="shared" si="48"/>
        <v>4422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5545.24</v>
      </c>
      <c r="I595" s="18">
        <v>0</v>
      </c>
      <c r="J595" s="18">
        <v>0</v>
      </c>
      <c r="K595" s="104">
        <f t="shared" si="48"/>
        <v>5545.24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498955.58999999997</v>
      </c>
      <c r="I598" s="108">
        <f>SUM(I591:I597)</f>
        <v>0</v>
      </c>
      <c r="J598" s="108">
        <f>SUM(J591:J597)</f>
        <v>247206.99</v>
      </c>
      <c r="K598" s="108">
        <f>SUM(K591:K597)</f>
        <v>746162.57999999984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29691.040000000001</v>
      </c>
      <c r="I604" s="18">
        <v>0</v>
      </c>
      <c r="J604" s="18">
        <v>0</v>
      </c>
      <c r="K604" s="104">
        <f>SUM(H604:J604)</f>
        <v>29691.040000000001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29691.040000000001</v>
      </c>
      <c r="I605" s="108">
        <f>SUM(I602:I604)</f>
        <v>0</v>
      </c>
      <c r="J605" s="108">
        <f>SUM(J602:J604)</f>
        <v>0</v>
      </c>
      <c r="K605" s="108">
        <f>SUM(K602:K604)</f>
        <v>29691.040000000001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19993.919999999998</v>
      </c>
      <c r="G611" s="18">
        <v>2857.36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22851.279999999999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1593.77</v>
      </c>
      <c r="I613" s="18"/>
      <c r="J613" s="18"/>
      <c r="K613" s="18"/>
      <c r="L613" s="88">
        <f>SUM(F613:K613)</f>
        <v>1593.77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19993.919999999998</v>
      </c>
      <c r="G614" s="108">
        <f t="shared" si="49"/>
        <v>2857.36</v>
      </c>
      <c r="H614" s="108">
        <f t="shared" si="49"/>
        <v>1593.77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24445.05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1044542.53</v>
      </c>
      <c r="H617" s="109">
        <f>SUM(F52)</f>
        <v>1044542.53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11035.5</v>
      </c>
      <c r="H618" s="109">
        <f>SUM(G52)</f>
        <v>11035.5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200150.81</v>
      </c>
      <c r="H621" s="109">
        <f>SUM(J52)</f>
        <v>200150.81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639036.99</v>
      </c>
      <c r="H622" s="109">
        <f>F476</f>
        <v>639036.99000000022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3203.3</v>
      </c>
      <c r="H623" s="109">
        <f>G476</f>
        <v>3203.3000000000175</v>
      </c>
      <c r="I623" s="121" t="s">
        <v>102</v>
      </c>
      <c r="J623" s="109">
        <f t="shared" si="50"/>
        <v>-1.7280399333685637E-11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154253.81</v>
      </c>
      <c r="H626" s="109">
        <f>J476</f>
        <v>154253.81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10692155.84</v>
      </c>
      <c r="H627" s="104">
        <f>SUM(F468)</f>
        <v>10692155.84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161603.42000000001</v>
      </c>
      <c r="H628" s="104">
        <f>SUM(G468)</f>
        <v>161603.42000000001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55262.35</v>
      </c>
      <c r="H631" s="104">
        <f>SUM(J468)</f>
        <v>55262.35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10566483.73</v>
      </c>
      <c r="H632" s="104">
        <f>SUM(F472)</f>
        <v>10566483.73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57587.58</v>
      </c>
      <c r="H634" s="104">
        <f>I369</f>
        <v>57587.58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161786.26</v>
      </c>
      <c r="H635" s="104">
        <f>SUM(G472)</f>
        <v>161786.26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55262.35</v>
      </c>
      <c r="H637" s="164">
        <f>SUM(J468)</f>
        <v>55262.35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45897</v>
      </c>
      <c r="H638" s="164">
        <f>SUM(J472)</f>
        <v>45897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200150.81</v>
      </c>
      <c r="H639" s="104">
        <f>SUM(F461)</f>
        <v>200150.81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200150.81</v>
      </c>
      <c r="H642" s="104">
        <f>SUM(I461)</f>
        <v>200150.81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262.35000000000002</v>
      </c>
      <c r="H644" s="104">
        <f>H408</f>
        <v>262.35000000000002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55000</v>
      </c>
      <c r="H645" s="104">
        <f>G408</f>
        <v>55000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55262.35</v>
      </c>
      <c r="H646" s="104">
        <f>L408</f>
        <v>55262.35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746162.57999999984</v>
      </c>
      <c r="H647" s="104">
        <f>L208+L226+L244</f>
        <v>746162.58000000007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29691.040000000001</v>
      </c>
      <c r="H648" s="104">
        <f>(J257+J338)-(J255+J336)</f>
        <v>29691.040000000001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498955.59</v>
      </c>
      <c r="H649" s="104">
        <f>H598</f>
        <v>498955.58999999997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247206.99</v>
      </c>
      <c r="H651" s="104">
        <f>J598</f>
        <v>247206.99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32186</v>
      </c>
      <c r="H652" s="104">
        <f>K263+K345</f>
        <v>32186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55000</v>
      </c>
      <c r="H655" s="104">
        <f>K266+K347</f>
        <v>55000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7138565.6999999993</v>
      </c>
      <c r="G660" s="19">
        <f>(L229+L309+L359)</f>
        <v>0</v>
      </c>
      <c r="H660" s="19">
        <f>(L247+L328+L360)</f>
        <v>3497768.29</v>
      </c>
      <c r="I660" s="19">
        <f>SUM(F660:H660)</f>
        <v>10636333.989999998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83847.520000000004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83847.520000000004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498955.59</v>
      </c>
      <c r="G662" s="19">
        <f>(L226+L306)-(J226+J306)</f>
        <v>0</v>
      </c>
      <c r="H662" s="19">
        <f>(L244+L325)-(J244+J325)</f>
        <v>247206.99</v>
      </c>
      <c r="I662" s="19">
        <f>SUM(F662:H662)</f>
        <v>746162.58000000007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305701.95999999996</v>
      </c>
      <c r="G663" s="199">
        <f>SUM(G575:G587)+SUM(I602:I604)+L612</f>
        <v>0</v>
      </c>
      <c r="H663" s="199">
        <f>SUM(H575:H587)+SUM(J602:J604)+L613</f>
        <v>2886263.33</v>
      </c>
      <c r="I663" s="19">
        <f>SUM(F663:H663)</f>
        <v>3191965.29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6250060.629999999</v>
      </c>
      <c r="G664" s="19">
        <f>G660-SUM(G661:G663)</f>
        <v>0</v>
      </c>
      <c r="H664" s="19">
        <f>H660-SUM(H661:H663)</f>
        <v>364297.96999999974</v>
      </c>
      <c r="I664" s="19">
        <f>I660-SUM(I661:I663)</f>
        <v>6614358.5999999978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495.1</v>
      </c>
      <c r="G665" s="248"/>
      <c r="H665" s="248"/>
      <c r="I665" s="19">
        <f>SUM(F665:H665)</f>
        <v>495.1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12623.83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13359.64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-364297.97</v>
      </c>
      <c r="I669" s="19">
        <f>SUM(F669:H669)</f>
        <v>-364297.97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12623.83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12623.83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Nottingham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2012589.07</v>
      </c>
      <c r="C9" s="229">
        <f>'DOE25'!G197+'DOE25'!G215+'DOE25'!G233+'DOE25'!G276+'DOE25'!G295+'DOE25'!G314</f>
        <v>991260.7</v>
      </c>
    </row>
    <row r="10" spans="1:3" x14ac:dyDescent="0.2">
      <c r="A10" t="s">
        <v>779</v>
      </c>
      <c r="B10" s="240">
        <v>1940464.95</v>
      </c>
      <c r="C10" s="240">
        <v>979574.23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72124.12</v>
      </c>
      <c r="C12" s="240">
        <v>11686.47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2012589.0699999998</v>
      </c>
      <c r="C13" s="231">
        <f>SUM(C10:C12)</f>
        <v>991260.7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750125.87</v>
      </c>
      <c r="C18" s="229">
        <f>'DOE25'!G198+'DOE25'!G216+'DOE25'!G234+'DOE25'!G277+'DOE25'!G296+'DOE25'!G315</f>
        <v>278379</v>
      </c>
    </row>
    <row r="19" spans="1:3" x14ac:dyDescent="0.2">
      <c r="A19" t="s">
        <v>779</v>
      </c>
      <c r="B19" s="240">
        <v>272394</v>
      </c>
      <c r="C19" s="240">
        <v>108794.51</v>
      </c>
    </row>
    <row r="20" spans="1:3" x14ac:dyDescent="0.2">
      <c r="A20" t="s">
        <v>780</v>
      </c>
      <c r="B20" s="240">
        <v>371541.71</v>
      </c>
      <c r="C20" s="240">
        <v>157966.5</v>
      </c>
    </row>
    <row r="21" spans="1:3" x14ac:dyDescent="0.2">
      <c r="A21" t="s">
        <v>781</v>
      </c>
      <c r="B21" s="240">
        <f>104596.39+1593.77</f>
        <v>106190.16</v>
      </c>
      <c r="C21" s="240">
        <f>1667.55+9950.44</f>
        <v>11617.99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750125.87</v>
      </c>
      <c r="C22" s="231">
        <f>SUM(C19:C21)</f>
        <v>278379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30000</v>
      </c>
      <c r="C36" s="235">
        <f>'DOE25'!G200+'DOE25'!G218+'DOE25'!G236+'DOE25'!G279+'DOE25'!G298+'DOE25'!G317</f>
        <v>4366.38</v>
      </c>
    </row>
    <row r="37" spans="1:3" x14ac:dyDescent="0.2">
      <c r="A37" t="s">
        <v>779</v>
      </c>
      <c r="B37" s="240">
        <v>13250</v>
      </c>
      <c r="C37" s="240">
        <v>3089.91</v>
      </c>
    </row>
    <row r="38" spans="1:3" x14ac:dyDescent="0.2">
      <c r="A38" t="s">
        <v>780</v>
      </c>
      <c r="B38" s="240">
        <v>8000</v>
      </c>
      <c r="C38" s="240">
        <v>607.1</v>
      </c>
    </row>
    <row r="39" spans="1:3" x14ac:dyDescent="0.2">
      <c r="A39" t="s">
        <v>781</v>
      </c>
      <c r="B39" s="240">
        <v>8750</v>
      </c>
      <c r="C39" s="240">
        <v>669.37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30000</v>
      </c>
      <c r="C40" s="231">
        <f>SUM(C37:C39)</f>
        <v>4366.38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9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Nottingham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7549124.6199999992</v>
      </c>
      <c r="D5" s="20">
        <f>SUM('DOE25'!L197:L200)+SUM('DOE25'!L215:L218)+SUM('DOE25'!L233:L236)-F5-G5</f>
        <v>7538563.1499999985</v>
      </c>
      <c r="E5" s="243"/>
      <c r="F5" s="255">
        <f>SUM('DOE25'!J197:J200)+SUM('DOE25'!J215:J218)+SUM('DOE25'!J233:J236)</f>
        <v>2312.65</v>
      </c>
      <c r="G5" s="53">
        <f>SUM('DOE25'!K197:K200)+SUM('DOE25'!K215:K218)+SUM('DOE25'!K233:K236)</f>
        <v>8248.82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558319.57999999996</v>
      </c>
      <c r="D6" s="20">
        <f>'DOE25'!L202+'DOE25'!L220+'DOE25'!L238-F6-G6</f>
        <v>557222.14999999991</v>
      </c>
      <c r="E6" s="243"/>
      <c r="F6" s="255">
        <f>'DOE25'!J202+'DOE25'!J220+'DOE25'!J238</f>
        <v>1097.43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398949.09</v>
      </c>
      <c r="D7" s="20">
        <f>'DOE25'!L203+'DOE25'!L221+'DOE25'!L239-F7-G7</f>
        <v>393259.09</v>
      </c>
      <c r="E7" s="243"/>
      <c r="F7" s="255">
        <f>'DOE25'!J203+'DOE25'!J221+'DOE25'!J239</f>
        <v>5565</v>
      </c>
      <c r="G7" s="53">
        <f>'DOE25'!K203+'DOE25'!K221+'DOE25'!K239</f>
        <v>125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335161.55999999994</v>
      </c>
      <c r="D8" s="243"/>
      <c r="E8" s="20">
        <f>'DOE25'!L204+'DOE25'!L222+'DOE25'!L240-F8-G8-D9-D11</f>
        <v>331594.73999999993</v>
      </c>
      <c r="F8" s="255">
        <f>'DOE25'!J204+'DOE25'!J222+'DOE25'!J240</f>
        <v>0</v>
      </c>
      <c r="G8" s="53">
        <f>'DOE25'!K204+'DOE25'!K222+'DOE25'!K240</f>
        <v>3566.8199999999997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43427.22</v>
      </c>
      <c r="D9" s="244">
        <f>52527.22+650-9750</f>
        <v>43427.22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9750</v>
      </c>
      <c r="D10" s="243"/>
      <c r="E10" s="244">
        <v>9750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108599.54</v>
      </c>
      <c r="D11" s="244">
        <v>108599.54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376589.77</v>
      </c>
      <c r="D12" s="20">
        <f>'DOE25'!L205+'DOE25'!L223+'DOE25'!L241-F12-G12</f>
        <v>373844.43</v>
      </c>
      <c r="E12" s="243"/>
      <c r="F12" s="255">
        <f>'DOE25'!J205+'DOE25'!J223+'DOE25'!J241</f>
        <v>1215.3399999999999</v>
      </c>
      <c r="G12" s="53">
        <f>'DOE25'!K205+'DOE25'!K223+'DOE25'!K241</f>
        <v>1530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358213.77</v>
      </c>
      <c r="D14" s="20">
        <f>'DOE25'!L207+'DOE25'!L225+'DOE25'!L243-F14-G14</f>
        <v>338713.15</v>
      </c>
      <c r="E14" s="243"/>
      <c r="F14" s="255">
        <f>'DOE25'!J207+'DOE25'!J225+'DOE25'!J243</f>
        <v>19500.62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746162.58000000007</v>
      </c>
      <c r="D15" s="20">
        <f>'DOE25'!L208+'DOE25'!L226+'DOE25'!L244-F15-G15</f>
        <v>746162.58000000007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106601.18000000001</v>
      </c>
      <c r="D29" s="20">
        <f>'DOE25'!L358+'DOE25'!L359+'DOE25'!L360-'DOE25'!I367-F29-G29</f>
        <v>106601.18000000001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10206392.489999998</v>
      </c>
      <c r="E33" s="246">
        <f>SUM(E5:E31)</f>
        <v>341344.73999999993</v>
      </c>
      <c r="F33" s="246">
        <f>SUM(F5:F31)</f>
        <v>29691.040000000001</v>
      </c>
      <c r="G33" s="246">
        <f>SUM(G5:G31)</f>
        <v>13470.64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341344.73999999993</v>
      </c>
      <c r="E35" s="249"/>
    </row>
    <row r="36" spans="2:8" ht="12" thickTop="1" x14ac:dyDescent="0.2">
      <c r="B36" t="s">
        <v>815</v>
      </c>
      <c r="D36" s="20">
        <f>D33</f>
        <v>10206392.489999998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65" activePane="bottomLeft" state="frozen"/>
      <selection activeCell="F46" sqref="F46"/>
      <selection pane="bottomLeft" activeCell="A765" sqref="A76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965317.1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200150.81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45897</v>
      </c>
      <c r="D11" s="95">
        <f>'DOE25'!G12</f>
        <v>7315.38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33328.429999999993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516.82000000000005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3203.3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1044542.53</v>
      </c>
      <c r="D18" s="41">
        <f>SUM(D8:D17)</f>
        <v>11035.5</v>
      </c>
      <c r="E18" s="41">
        <f>SUM(E8:E17)</f>
        <v>0</v>
      </c>
      <c r="F18" s="41">
        <f>SUM(F8:F17)</f>
        <v>0</v>
      </c>
      <c r="G18" s="41">
        <f>SUM(G8:G17)</f>
        <v>200150.81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7315.38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45897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7726.33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305786.77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92403.39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105.87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405505.54000000004</v>
      </c>
      <c r="D31" s="41">
        <f>SUM(D21:D30)</f>
        <v>7832.2</v>
      </c>
      <c r="E31" s="41">
        <f>SUM(E21:E30)</f>
        <v>0</v>
      </c>
      <c r="F31" s="41">
        <f>SUM(F21:F30)</f>
        <v>0</v>
      </c>
      <c r="G31" s="41">
        <f>SUM(G21:G30)</f>
        <v>45897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3203.3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60000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154253.81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489036.99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639036.99</v>
      </c>
      <c r="D50" s="41">
        <f>SUM(D34:D49)</f>
        <v>3203.3</v>
      </c>
      <c r="E50" s="41">
        <f>SUM(E34:E49)</f>
        <v>0</v>
      </c>
      <c r="F50" s="41">
        <f>SUM(F34:F49)</f>
        <v>0</v>
      </c>
      <c r="G50" s="41">
        <f>SUM(G34:G49)</f>
        <v>154253.81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1044542.53</v>
      </c>
      <c r="D51" s="41">
        <f>D50+D31</f>
        <v>11035.5</v>
      </c>
      <c r="E51" s="41">
        <f>E50+E31</f>
        <v>0</v>
      </c>
      <c r="F51" s="41">
        <f>F50+F31</f>
        <v>0</v>
      </c>
      <c r="G51" s="41">
        <f>G50+G31</f>
        <v>200150.81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7732046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1953.07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88.09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262.35000000000002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83847.520000000004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78634.789999999994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80675.95</v>
      </c>
      <c r="D62" s="130">
        <f>SUM(D57:D61)</f>
        <v>83847.520000000004</v>
      </c>
      <c r="E62" s="130">
        <f>SUM(E57:E61)</f>
        <v>0</v>
      </c>
      <c r="F62" s="130">
        <f>SUM(F57:F61)</f>
        <v>0</v>
      </c>
      <c r="G62" s="130">
        <f>SUM(G57:G61)</f>
        <v>262.35000000000002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7812721.9500000002</v>
      </c>
      <c r="D63" s="22">
        <f>D56+D62</f>
        <v>83847.520000000004</v>
      </c>
      <c r="E63" s="22">
        <f>E56+E62</f>
        <v>0</v>
      </c>
      <c r="F63" s="22">
        <f>F56+F62</f>
        <v>0</v>
      </c>
      <c r="G63" s="22">
        <f>G56+G62</f>
        <v>262.35000000000002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1470997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1260174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2731171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66641.3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2820.85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66641.3</v>
      </c>
      <c r="D78" s="130">
        <f>SUM(D72:D77)</f>
        <v>2820.85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2797812.3</v>
      </c>
      <c r="D81" s="130">
        <f>SUM(D79:D80)+D78+D70</f>
        <v>2820.85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81621.59</v>
      </c>
      <c r="D88" s="95">
        <f>SUM('DOE25'!G153:G161)</f>
        <v>42749.05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81621.59</v>
      </c>
      <c r="D91" s="131">
        <f>SUM(D85:D90)</f>
        <v>42749.05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32186</v>
      </c>
      <c r="E96" s="95">
        <f>'DOE25'!H179</f>
        <v>0</v>
      </c>
      <c r="F96" s="95">
        <f>'DOE25'!I179</f>
        <v>0</v>
      </c>
      <c r="G96" s="95">
        <f>'DOE25'!J179</f>
        <v>55000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32186</v>
      </c>
      <c r="E103" s="86">
        <f>SUM(E93:E102)</f>
        <v>0</v>
      </c>
      <c r="F103" s="86">
        <f>SUM(F93:F102)</f>
        <v>0</v>
      </c>
      <c r="G103" s="86">
        <f>SUM(G93:G102)</f>
        <v>55000</v>
      </c>
    </row>
    <row r="104" spans="1:7" ht="12.75" thickTop="1" thickBot="1" x14ac:dyDescent="0.25">
      <c r="A104" s="33" t="s">
        <v>765</v>
      </c>
      <c r="C104" s="86">
        <f>C63+C81+C91+C103</f>
        <v>10692155.84</v>
      </c>
      <c r="D104" s="86">
        <f>D63+D81+D91+D103</f>
        <v>161603.42000000001</v>
      </c>
      <c r="E104" s="86">
        <f>E63+E81+E91+E103</f>
        <v>0</v>
      </c>
      <c r="F104" s="86">
        <f>F63+F81+F91+F103</f>
        <v>0</v>
      </c>
      <c r="G104" s="86">
        <f>G63+G81+G103</f>
        <v>55262.35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5901526.2199999997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1604976.53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42621.869999999995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7549124.6200000001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558319.57999999996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398949.09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487188.31999999995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376589.77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358213.77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746162.58000000007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161786.26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2925423.11</v>
      </c>
      <c r="D128" s="86">
        <f>SUM(D118:D127)</f>
        <v>161786.26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32186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55262.35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-262.34999999999854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4750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91936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10566483.73</v>
      </c>
      <c r="D145" s="86">
        <f>(D115+D128+D144)</f>
        <v>161786.26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Nottingham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12624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12624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5901526</v>
      </c>
      <c r="D10" s="182">
        <f>ROUND((C10/$C$28)*100,1)</f>
        <v>55.9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1604977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42622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558320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398949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487188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376590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358214</v>
      </c>
      <c r="D20" s="182">
        <f t="shared" si="0"/>
        <v>3.4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746163</v>
      </c>
      <c r="D21" s="182">
        <f t="shared" si="0"/>
        <v>7.1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4750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77938.48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10557237.48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10557237.48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7732046</v>
      </c>
      <c r="D35" s="182">
        <f t="shared" ref="D35:D40" si="1">ROUND((C35/$C$41)*100,1)</f>
        <v>72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80938.299999999814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2731171</v>
      </c>
      <c r="D37" s="182">
        <f t="shared" si="1"/>
        <v>25.4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69462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124371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10737988.300000001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Nottingham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2016-09-14T18:27:06Z</cp:lastPrinted>
  <dcterms:created xsi:type="dcterms:W3CDTF">1997-12-04T19:04:30Z</dcterms:created>
  <dcterms:modified xsi:type="dcterms:W3CDTF">2016-09-14T18:33:38Z</dcterms:modified>
</cp:coreProperties>
</file>