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AF0A" lockStructure="1"/>
  <bookViews>
    <workbookView xWindow="0" yWindow="0" windowWidth="9570" windowHeight="70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6" i="1" l="1"/>
  <c r="F440" i="1"/>
  <c r="I400" i="1"/>
  <c r="I391" i="1"/>
  <c r="I389" i="1"/>
  <c r="H48" i="1" l="1"/>
  <c r="I288" i="1"/>
  <c r="F315" i="1"/>
  <c r="G315" i="1"/>
  <c r="I326" i="1"/>
  <c r="I317" i="1"/>
  <c r="G314" i="1"/>
  <c r="F314" i="1"/>
  <c r="G296" i="1"/>
  <c r="F296" i="1"/>
  <c r="G295" i="1"/>
  <c r="F295" i="1"/>
  <c r="H277" i="1"/>
  <c r="G276" i="1"/>
  <c r="F276" i="1"/>
  <c r="J326" i="1"/>
  <c r="F50" i="1"/>
  <c r="H135" i="1" l="1"/>
  <c r="C45" i="2" l="1"/>
  <c r="G51" i="1"/>
  <c r="G623" i="1" s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H94" i="1"/>
  <c r="E58" i="2" s="1"/>
  <c r="H111" i="1"/>
  <c r="I111" i="1"/>
  <c r="J111" i="1"/>
  <c r="J112" i="1" s="1"/>
  <c r="F121" i="1"/>
  <c r="F136" i="1"/>
  <c r="G121" i="1"/>
  <c r="G136" i="1"/>
  <c r="H121" i="1"/>
  <c r="H136" i="1"/>
  <c r="I121" i="1"/>
  <c r="I140" i="1" s="1"/>
  <c r="I136" i="1"/>
  <c r="J121" i="1"/>
  <c r="J136" i="1"/>
  <c r="F147" i="1"/>
  <c r="F162" i="1"/>
  <c r="G147" i="1"/>
  <c r="G162" i="1"/>
  <c r="H147" i="1"/>
  <c r="H162" i="1"/>
  <c r="I147" i="1"/>
  <c r="F85" i="2" s="1"/>
  <c r="F91" i="2" s="1"/>
  <c r="I162" i="1"/>
  <c r="L250" i="1"/>
  <c r="C113" i="2" s="1"/>
  <c r="L332" i="1"/>
  <c r="L254" i="1"/>
  <c r="L268" i="1"/>
  <c r="C142" i="2" s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L537" i="1"/>
  <c r="I550" i="1" s="1"/>
  <c r="L538" i="1"/>
  <c r="I551" i="1" s="1"/>
  <c r="L541" i="1"/>
  <c r="J549" i="1" s="1"/>
  <c r="L542" i="1"/>
  <c r="L543" i="1"/>
  <c r="J551" i="1" s="1"/>
  <c r="E132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C12" i="2"/>
  <c r="D12" i="2"/>
  <c r="E12" i="2"/>
  <c r="F12" i="2"/>
  <c r="I442" i="1"/>
  <c r="J13" i="1" s="1"/>
  <c r="G12" i="2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E50" i="2" s="1"/>
  <c r="F34" i="2"/>
  <c r="C35" i="2"/>
  <c r="D35" i="2"/>
  <c r="E35" i="2"/>
  <c r="F35" i="2"/>
  <c r="I454" i="1"/>
  <c r="J49" i="1" s="1"/>
  <c r="G48" i="2" s="1"/>
  <c r="I456" i="1"/>
  <c r="J43" i="1" s="1"/>
  <c r="G42" i="2" s="1"/>
  <c r="I457" i="1"/>
  <c r="J37" i="1" s="1"/>
  <c r="I459" i="1"/>
  <c r="J48" i="1" s="1"/>
  <c r="G47" i="2" s="1"/>
  <c r="C49" i="2"/>
  <c r="C56" i="2"/>
  <c r="D56" i="2"/>
  <c r="E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C79" i="2"/>
  <c r="D79" i="2"/>
  <c r="E79" i="2"/>
  <c r="C80" i="2"/>
  <c r="E80" i="2"/>
  <c r="D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3" i="2"/>
  <c r="D115" i="2"/>
  <c r="F115" i="2"/>
  <c r="G115" i="2"/>
  <c r="C118" i="2"/>
  <c r="E118" i="2"/>
  <c r="E120" i="2"/>
  <c r="E122" i="2"/>
  <c r="E124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I408" i="1" s="1"/>
  <c r="F407" i="1"/>
  <c r="G407" i="1"/>
  <c r="H407" i="1"/>
  <c r="I407" i="1"/>
  <c r="F408" i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F434" i="1" s="1"/>
  <c r="G427" i="1"/>
  <c r="H427" i="1"/>
  <c r="H434" i="1" s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H460" i="1"/>
  <c r="H461" i="1"/>
  <c r="H641" i="1" s="1"/>
  <c r="F470" i="1"/>
  <c r="G470" i="1"/>
  <c r="H470" i="1"/>
  <c r="I470" i="1"/>
  <c r="J470" i="1"/>
  <c r="F474" i="1"/>
  <c r="G474" i="1"/>
  <c r="H474" i="1"/>
  <c r="H476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H643" i="1"/>
  <c r="J643" i="1" s="1"/>
  <c r="G644" i="1"/>
  <c r="G645" i="1"/>
  <c r="G652" i="1"/>
  <c r="H652" i="1"/>
  <c r="J652" i="1" s="1"/>
  <c r="G653" i="1"/>
  <c r="H653" i="1"/>
  <c r="G654" i="1"/>
  <c r="H654" i="1"/>
  <c r="H655" i="1"/>
  <c r="H624" i="1"/>
  <c r="G36" i="2"/>
  <c r="G169" i="1"/>
  <c r="G16" i="2"/>
  <c r="I434" i="1"/>
  <c r="G163" i="2" l="1"/>
  <c r="J645" i="1"/>
  <c r="C103" i="2"/>
  <c r="G112" i="1"/>
  <c r="G434" i="1"/>
  <c r="G81" i="2"/>
  <c r="J654" i="1"/>
  <c r="I169" i="1"/>
  <c r="J140" i="1"/>
  <c r="H140" i="1"/>
  <c r="J641" i="1"/>
  <c r="J644" i="1"/>
  <c r="L614" i="1"/>
  <c r="K605" i="1"/>
  <c r="G648" i="1" s="1"/>
  <c r="L256" i="1"/>
  <c r="E103" i="2"/>
  <c r="G162" i="2"/>
  <c r="H545" i="1"/>
  <c r="I663" i="1"/>
  <c r="K338" i="1"/>
  <c r="K352" i="1" s="1"/>
  <c r="I369" i="1"/>
  <c r="H634" i="1" s="1"/>
  <c r="G62" i="2"/>
  <c r="G63" i="2" s="1"/>
  <c r="G103" i="2"/>
  <c r="G461" i="1"/>
  <c r="H640" i="1" s="1"/>
  <c r="J640" i="1" s="1"/>
  <c r="J639" i="1"/>
  <c r="L393" i="1"/>
  <c r="G476" i="1"/>
  <c r="H623" i="1" s="1"/>
  <c r="J623" i="1" s="1"/>
  <c r="E109" i="2"/>
  <c r="E110" i="2"/>
  <c r="F338" i="1"/>
  <c r="F352" i="1" s="1"/>
  <c r="E119" i="2"/>
  <c r="E123" i="2"/>
  <c r="H662" i="1"/>
  <c r="H338" i="1"/>
  <c r="H352" i="1" s="1"/>
  <c r="I338" i="1"/>
  <c r="I352" i="1" s="1"/>
  <c r="G338" i="1"/>
  <c r="G352" i="1" s="1"/>
  <c r="D50" i="2"/>
  <c r="G52" i="1"/>
  <c r="H618" i="1" s="1"/>
  <c r="J618" i="1" s="1"/>
  <c r="C31" i="2"/>
  <c r="G651" i="1"/>
  <c r="J651" i="1" s="1"/>
  <c r="C124" i="2"/>
  <c r="H647" i="1"/>
  <c r="C122" i="2"/>
  <c r="C15" i="10"/>
  <c r="C112" i="2"/>
  <c r="C10" i="10"/>
  <c r="C109" i="2"/>
  <c r="G257" i="1"/>
  <c r="G271" i="1" s="1"/>
  <c r="F257" i="1"/>
  <c r="F271" i="1" s="1"/>
  <c r="C62" i="2"/>
  <c r="C63" i="2" s="1"/>
  <c r="H52" i="1"/>
  <c r="H619" i="1" s="1"/>
  <c r="J619" i="1" s="1"/>
  <c r="J624" i="1"/>
  <c r="F140" i="1"/>
  <c r="C35" i="10"/>
  <c r="I52" i="1"/>
  <c r="H620" i="1" s="1"/>
  <c r="J620" i="1" s="1"/>
  <c r="E31" i="2"/>
  <c r="E51" i="2" s="1"/>
  <c r="C50" i="2"/>
  <c r="J193" i="1"/>
  <c r="G646" i="1" s="1"/>
  <c r="J634" i="1"/>
  <c r="L351" i="1"/>
  <c r="G650" i="1"/>
  <c r="J650" i="1" s="1"/>
  <c r="J571" i="1"/>
  <c r="F571" i="1"/>
  <c r="K571" i="1"/>
  <c r="G571" i="1"/>
  <c r="L565" i="1"/>
  <c r="L571" i="1" s="1"/>
  <c r="H571" i="1"/>
  <c r="L560" i="1"/>
  <c r="K257" i="1"/>
  <c r="K271" i="1" s="1"/>
  <c r="I192" i="1"/>
  <c r="G192" i="1"/>
  <c r="G159" i="2"/>
  <c r="D91" i="2"/>
  <c r="D81" i="2"/>
  <c r="F62" i="2"/>
  <c r="L270" i="1"/>
  <c r="L544" i="1"/>
  <c r="G662" i="1"/>
  <c r="C23" i="10"/>
  <c r="C11" i="10"/>
  <c r="G140" i="1"/>
  <c r="G193" i="1" s="1"/>
  <c r="G628" i="1" s="1"/>
  <c r="J628" i="1" s="1"/>
  <c r="E62" i="2"/>
  <c r="E63" i="2" s="1"/>
  <c r="L407" i="1"/>
  <c r="C140" i="2" s="1"/>
  <c r="A22" i="12"/>
  <c r="A13" i="12"/>
  <c r="A31" i="12"/>
  <c r="G31" i="13"/>
  <c r="G33" i="13" s="1"/>
  <c r="D18" i="13"/>
  <c r="C18" i="13" s="1"/>
  <c r="D17" i="13"/>
  <c r="C17" i="13" s="1"/>
  <c r="F50" i="2"/>
  <c r="D31" i="2"/>
  <c r="D51" i="2" s="1"/>
  <c r="C26" i="10"/>
  <c r="J476" i="1"/>
  <c r="H626" i="1" s="1"/>
  <c r="F476" i="1"/>
  <c r="H622" i="1" s="1"/>
  <c r="J622" i="1" s="1"/>
  <c r="L337" i="1"/>
  <c r="D103" i="2"/>
  <c r="F103" i="2"/>
  <c r="C70" i="2"/>
  <c r="C18" i="2"/>
  <c r="J655" i="1"/>
  <c r="F52" i="1"/>
  <c r="H617" i="1" s="1"/>
  <c r="J617" i="1" s="1"/>
  <c r="J653" i="1"/>
  <c r="F545" i="1"/>
  <c r="H192" i="1"/>
  <c r="G161" i="2"/>
  <c r="G157" i="2"/>
  <c r="K434" i="1"/>
  <c r="G134" i="2" s="1"/>
  <c r="G144" i="2" s="1"/>
  <c r="G145" i="2" s="1"/>
  <c r="D62" i="2"/>
  <c r="D63" i="2" s="1"/>
  <c r="J550" i="1"/>
  <c r="F112" i="1"/>
  <c r="C25" i="10"/>
  <c r="E114" i="2"/>
  <c r="C138" i="2"/>
  <c r="F22" i="13"/>
  <c r="C22" i="13" s="1"/>
  <c r="C130" i="2"/>
  <c r="C29" i="10"/>
  <c r="C32" i="10"/>
  <c r="H25" i="13"/>
  <c r="C131" i="2"/>
  <c r="L309" i="1"/>
  <c r="E125" i="2"/>
  <c r="E121" i="2"/>
  <c r="C13" i="10"/>
  <c r="E112" i="2"/>
  <c r="J338" i="1"/>
  <c r="J352" i="1" s="1"/>
  <c r="F31" i="13"/>
  <c r="L362" i="1"/>
  <c r="D29" i="13"/>
  <c r="C29" i="13" s="1"/>
  <c r="D127" i="2"/>
  <c r="D128" i="2" s="1"/>
  <c r="D145" i="2" s="1"/>
  <c r="F661" i="1"/>
  <c r="D19" i="13"/>
  <c r="C19" i="13" s="1"/>
  <c r="C24" i="10"/>
  <c r="C123" i="2"/>
  <c r="D14" i="13"/>
  <c r="C14" i="13" s="1"/>
  <c r="C121" i="2"/>
  <c r="C18" i="10"/>
  <c r="C119" i="2"/>
  <c r="C16" i="10"/>
  <c r="D7" i="13"/>
  <c r="C7" i="13" s="1"/>
  <c r="D6" i="13"/>
  <c r="C6" i="13" s="1"/>
  <c r="L247" i="1"/>
  <c r="L229" i="1"/>
  <c r="C110" i="2"/>
  <c r="L211" i="1"/>
  <c r="C125" i="2"/>
  <c r="E16" i="13"/>
  <c r="C16" i="13" s="1"/>
  <c r="C17" i="10"/>
  <c r="E8" i="13"/>
  <c r="C120" i="2"/>
  <c r="D5" i="13"/>
  <c r="D12" i="13"/>
  <c r="C12" i="13" s="1"/>
  <c r="H257" i="1"/>
  <c r="H271" i="1" s="1"/>
  <c r="J257" i="1"/>
  <c r="F192" i="1"/>
  <c r="C20" i="10"/>
  <c r="K598" i="1"/>
  <c r="G647" i="1" s="1"/>
  <c r="J647" i="1" s="1"/>
  <c r="F31" i="2"/>
  <c r="J32" i="1"/>
  <c r="G21" i="2"/>
  <c r="G31" i="2" s="1"/>
  <c r="G11" i="2"/>
  <c r="G18" i="2" s="1"/>
  <c r="J19" i="1"/>
  <c r="G621" i="1" s="1"/>
  <c r="K551" i="1"/>
  <c r="G661" i="1"/>
  <c r="I257" i="1"/>
  <c r="I271" i="1" s="1"/>
  <c r="D18" i="2"/>
  <c r="L524" i="1"/>
  <c r="F550" i="1"/>
  <c r="K550" i="1" s="1"/>
  <c r="H169" i="1"/>
  <c r="E85" i="2"/>
  <c r="E91" i="2" s="1"/>
  <c r="F169" i="1"/>
  <c r="C85" i="2"/>
  <c r="C91" i="2" s="1"/>
  <c r="G50" i="2"/>
  <c r="L427" i="1"/>
  <c r="G160" i="2"/>
  <c r="G158" i="2"/>
  <c r="G156" i="2"/>
  <c r="E144" i="2"/>
  <c r="C78" i="2"/>
  <c r="L539" i="1"/>
  <c r="I549" i="1"/>
  <c r="I552" i="1" s="1"/>
  <c r="H552" i="1"/>
  <c r="G552" i="1"/>
  <c r="F56" i="2"/>
  <c r="I112" i="1"/>
  <c r="K545" i="1"/>
  <c r="G545" i="1"/>
  <c r="K500" i="1"/>
  <c r="I476" i="1"/>
  <c r="H625" i="1" s="1"/>
  <c r="J625" i="1" s="1"/>
  <c r="I460" i="1"/>
  <c r="I461" i="1" s="1"/>
  <c r="H642" i="1" s="1"/>
  <c r="I446" i="1"/>
  <c r="G642" i="1" s="1"/>
  <c r="L433" i="1"/>
  <c r="J434" i="1"/>
  <c r="L419" i="1"/>
  <c r="J51" i="1"/>
  <c r="L529" i="1"/>
  <c r="F130" i="2"/>
  <c r="F144" i="2" s="1"/>
  <c r="F145" i="2" s="1"/>
  <c r="L382" i="1"/>
  <c r="G636" i="1" s="1"/>
  <c r="J636" i="1" s="1"/>
  <c r="L401" i="1"/>
  <c r="C139" i="2" s="1"/>
  <c r="A40" i="12"/>
  <c r="J649" i="1"/>
  <c r="I545" i="1"/>
  <c r="J545" i="1"/>
  <c r="B164" i="2"/>
  <c r="G164" i="2" s="1"/>
  <c r="K503" i="1"/>
  <c r="F78" i="2"/>
  <c r="F81" i="2" s="1"/>
  <c r="F18" i="2"/>
  <c r="E18" i="2"/>
  <c r="J552" i="1"/>
  <c r="H112" i="1"/>
  <c r="L328" i="1"/>
  <c r="L290" i="1"/>
  <c r="H661" i="1"/>
  <c r="C114" i="2"/>
  <c r="C21" i="10"/>
  <c r="D15" i="13"/>
  <c r="C15" i="13" s="1"/>
  <c r="F662" i="1"/>
  <c r="C12" i="10"/>
  <c r="E13" i="13"/>
  <c r="C13" i="13" s="1"/>
  <c r="C81" i="2" l="1"/>
  <c r="C104" i="2" s="1"/>
  <c r="F51" i="2"/>
  <c r="C38" i="10"/>
  <c r="I193" i="1"/>
  <c r="G630" i="1" s="1"/>
  <c r="J630" i="1" s="1"/>
  <c r="G631" i="1"/>
  <c r="J631" i="1" s="1"/>
  <c r="G104" i="2"/>
  <c r="G51" i="2"/>
  <c r="L434" i="1"/>
  <c r="G638" i="1" s="1"/>
  <c r="J638" i="1" s="1"/>
  <c r="G660" i="1"/>
  <c r="C51" i="2"/>
  <c r="I662" i="1"/>
  <c r="H193" i="1"/>
  <c r="G629" i="1" s="1"/>
  <c r="J629" i="1" s="1"/>
  <c r="D104" i="2"/>
  <c r="F63" i="2"/>
  <c r="F104" i="2" s="1"/>
  <c r="H660" i="1"/>
  <c r="H664" i="1" s="1"/>
  <c r="H672" i="1" s="1"/>
  <c r="C6" i="10" s="1"/>
  <c r="E128" i="2"/>
  <c r="J642" i="1"/>
  <c r="F552" i="1"/>
  <c r="E115" i="2"/>
  <c r="G626" i="1"/>
  <c r="J626" i="1" s="1"/>
  <c r="J52" i="1"/>
  <c r="H621" i="1" s="1"/>
  <c r="J621" i="1" s="1"/>
  <c r="H648" i="1"/>
  <c r="J648" i="1" s="1"/>
  <c r="J271" i="1"/>
  <c r="K549" i="1"/>
  <c r="K552" i="1" s="1"/>
  <c r="E104" i="2"/>
  <c r="C8" i="13"/>
  <c r="E33" i="13"/>
  <c r="D35" i="13" s="1"/>
  <c r="L257" i="1"/>
  <c r="L271" i="1" s="1"/>
  <c r="G632" i="1" s="1"/>
  <c r="J632" i="1" s="1"/>
  <c r="F660" i="1"/>
  <c r="I661" i="1"/>
  <c r="H33" i="13"/>
  <c r="C25" i="13"/>
  <c r="D31" i="13"/>
  <c r="C31" i="13" s="1"/>
  <c r="L338" i="1"/>
  <c r="L352" i="1" s="1"/>
  <c r="G633" i="1" s="1"/>
  <c r="J633" i="1" s="1"/>
  <c r="C115" i="2"/>
  <c r="C128" i="2"/>
  <c r="C141" i="2"/>
  <c r="C144" i="2" s="1"/>
  <c r="C27" i="10"/>
  <c r="C28" i="10" s="1"/>
  <c r="G635" i="1"/>
  <c r="J635" i="1" s="1"/>
  <c r="F193" i="1"/>
  <c r="G627" i="1" s="1"/>
  <c r="J627" i="1" s="1"/>
  <c r="C39" i="10"/>
  <c r="L545" i="1"/>
  <c r="C36" i="10"/>
  <c r="C5" i="13"/>
  <c r="G664" i="1"/>
  <c r="F33" i="13"/>
  <c r="L408" i="1"/>
  <c r="D33" i="13" l="1"/>
  <c r="D36" i="13" s="1"/>
  <c r="E145" i="2"/>
  <c r="H667" i="1"/>
  <c r="D22" i="10"/>
  <c r="D25" i="10"/>
  <c r="D15" i="10"/>
  <c r="C30" i="10"/>
  <c r="D23" i="10"/>
  <c r="D19" i="10"/>
  <c r="D26" i="10"/>
  <c r="D11" i="10"/>
  <c r="D10" i="10"/>
  <c r="D13" i="10"/>
  <c r="D20" i="10"/>
  <c r="D17" i="10"/>
  <c r="D18" i="10"/>
  <c r="D24" i="10"/>
  <c r="D21" i="10"/>
  <c r="D12" i="10"/>
  <c r="D16" i="10"/>
  <c r="G667" i="1"/>
  <c r="G672" i="1"/>
  <c r="C5" i="10" s="1"/>
  <c r="C41" i="10"/>
  <c r="C145" i="2"/>
  <c r="G637" i="1"/>
  <c r="J637" i="1" s="1"/>
  <c r="H646" i="1"/>
  <c r="J646" i="1" s="1"/>
  <c r="D27" i="10"/>
  <c r="F664" i="1"/>
  <c r="I660" i="1"/>
  <c r="I664" i="1" s="1"/>
  <c r="H656" i="1"/>
  <c r="D28" i="10" l="1"/>
  <c r="D35" i="10"/>
  <c r="D40" i="10"/>
  <c r="D37" i="10"/>
  <c r="D38" i="10"/>
  <c r="D36" i="10"/>
  <c r="I672" i="1"/>
  <c r="C7" i="10" s="1"/>
  <c r="I667" i="1"/>
  <c r="F667" i="1"/>
  <c r="F672" i="1"/>
  <c r="C4" i="10" s="1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<sst xmlns="http://schemas.openxmlformats.org/spreadsheetml/2006/main" count="3961" uniqueCount="919">
  <si>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</si>
  <si>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</si>
  <si>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</si>
  <si>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</si>
  <si>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</si>
  <si>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</si>
  <si>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</si>
  <si>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</si>
  <si>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</si>
  <si>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</si>
  <si>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</si>
  <si>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</si>
  <si>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</si>
  <si>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</si>
  <si>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</si>
  <si>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</si>
  <si>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</si>
  <si>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</si>
  <si>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</si>
  <si>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</si>
  <si>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</si>
  <si>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</si>
  <si>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</si>
  <si>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</si>
  <si>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</si>
  <si>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</si>
  <si>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</si>
  <si>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</si>
  <si>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</si>
  <si>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</si>
  <si>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</si>
  <si>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</si>
  <si>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</si>
  <si>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</si>
  <si>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</si>
  <si>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</si>
  <si>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</si>
  <si>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</si>
  <si>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</si>
  <si>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</si>
  <si>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</si>
  <si>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</si>
  <si>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</si>
  <si>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</si>
  <si>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</si>
  <si>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</si>
  <si>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</si>
  <si>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</si>
  <si>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</si>
  <si>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</si>
  <si>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</si>
  <si>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</si>
  <si>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</si>
  <si>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</si>
  <si>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</si>
  <si>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</si>
  <si>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</si>
  <si>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</si>
  <si>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</si>
  <si>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</si>
  <si>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</si>
  <si>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</si>
  <si>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</si>
  <si>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</si>
  <si>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</si>
  <si>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</si>
  <si>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</si>
  <si>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</si>
  <si>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</si>
  <si>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</si>
  <si>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</si>
  <si>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</si>
  <si>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</si>
  <si>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</si>
  <si>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</si>
  <si>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</si>
  <si>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</si>
  <si>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</si>
  <si>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</si>
  <si>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</si>
  <si>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</si>
  <si>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</si>
  <si>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</si>
  <si>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</si>
  <si>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</si>
  <si>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</si>
  <si>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</si>
  <si>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</si>
  <si>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</si>
  <si>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</si>
  <si>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</si>
  <si>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</si>
  <si>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</si>
  <si>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</si>
  <si>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</si>
  <si>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</si>
  <si>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</si>
  <si>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</si>
  <si>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</si>
  <si>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</si>
  <si>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</si>
  <si>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</si>
  <si>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</si>
  <si>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</si>
  <si>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</si>
  <si>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</si>
  <si>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</si>
  <si>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</si>
  <si>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</si>
  <si>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</si>
  <si>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</si>
  <si>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</si>
  <si>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</si>
  <si>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</si>
  <si>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</si>
  <si>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</si>
  <si>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</si>
  <si>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</si>
  <si>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</si>
  <si>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</si>
  <si>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</si>
  <si>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</si>
  <si>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</si>
  <si>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</si>
  <si>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</si>
  <si>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</si>
  <si>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</si>
  <si>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</si>
  <si>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</si>
  <si>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</si>
  <si>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</si>
  <si>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</si>
  <si>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</si>
  <si>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</si>
  <si>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</si>
  <si>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</si>
  <si>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</si>
  <si>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</si>
  <si>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</si>
  <si>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</si>
  <si>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</si>
  <si>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</si>
  <si>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</si>
  <si>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</si>
  <si>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</si>
  <si>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</si>
  <si>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</si>
  <si>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</si>
  <si>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</si>
  <si>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</si>
  <si>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</si>
  <si>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</si>
  <si>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</si>
  <si>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</si>
  <si>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</si>
  <si>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</si>
  <si>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</si>
  <si>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</si>
  <si>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</si>
  <si>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</si>
  <si>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</si>
  <si>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</si>
  <si>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</si>
  <si>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</si>
  <si>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</si>
  <si>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</si>
  <si>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</si>
  <si>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</si>
  <si>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</si>
  <si>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</si>
  <si>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</si>
  <si>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</si>
  <si>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</si>
  <si>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</si>
  <si>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</si>
  <si>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</si>
  <si>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</si>
  <si>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</si>
  <si>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</si>
  <si>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</si>
  <si>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</si>
  <si>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</si>
  <si>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</si>
  <si>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</si>
  <si>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</si>
  <si>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</si>
  <si>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</si>
  <si>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</si>
  <si>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</si>
  <si>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</si>
  <si>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</si>
  <si>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</si>
  <si>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</si>
  <si>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</si>
  <si>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</si>
  <si>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</si>
  <si>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</si>
  <si>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</si>
  <si>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</si>
  <si>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</si>
  <si>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</si>
  <si>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</si>
  <si>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</si>
  <si>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</si>
  <si>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</si>
  <si>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</si>
  <si>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</si>
  <si>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</si>
  <si>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</si>
  <si>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</si>
  <si>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</si>
  <si>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</si>
  <si>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</si>
  <si>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</si>
  <si>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</si>
  <si>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</si>
  <si>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</si>
  <si>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</si>
  <si>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</si>
  <si>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</si>
  <si>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</si>
  <si>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</si>
  <si>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</si>
  <si>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</si>
  <si>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</si>
  <si>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</si>
  <si>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</si>
  <si>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</si>
  <si>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</si>
  <si>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</si>
  <si>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</si>
  <si>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</si>
  <si>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</si>
  <si>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</si>
  <si>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</si>
  <si>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</si>
  <si>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</si>
  <si>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</si>
  <si>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</si>
  <si>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</si>
  <si>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</si>
  <si>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</si>
  <si>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</si>
  <si>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</si>
  <si>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</si>
  <si>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</si>
  <si>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</si>
  <si>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</si>
  <si>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</si>
  <si>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</si>
  <si>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</si>
  <si>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</si>
  <si>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</si>
  <si>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</si>
  <si>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</si>
  <si>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</si>
  <si>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</si>
  <si>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</si>
  <si>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</si>
  <si>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</si>
  <si>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</si>
  <si>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</si>
  <si>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</si>
  <si>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</si>
  <si>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</si>
  <si>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</si>
  <si>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</si>
  <si>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</si>
  <si>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</si>
  <si>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</si>
  <si>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</si>
  <si>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</si>
  <si>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</si>
  <si>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</si>
  <si>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</si>
  <si>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</si>
  <si>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</si>
  <si>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</si>
  <si>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</si>
  <si>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</si>
  <si>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</si>
  <si>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</si>
  <si>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</si>
  <si>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</si>
  <si>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</si>
  <si>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</si>
  <si>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</si>
  <si>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</si>
  <si>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</si>
  <si>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</si>
  <si>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</si>
  <si>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</si>
  <si>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</si>
  <si>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</si>
  <si>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</si>
  <si>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</si>
  <si>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</si>
  <si>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</si>
  <si>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</si>
  <si>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</si>
  <si>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</si>
  <si>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</si>
  <si>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</si>
  <si>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</si>
  <si>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</si>
  <si>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</si>
  <si>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</si>
  <si>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</si>
  <si>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</si>
  <si>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</si>
  <si>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</si>
  <si>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</si>
  <si>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</si>
  <si>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</si>
  <si>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</si>
  <si>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</si>
  <si>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</si>
  <si>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</si>
  <si>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</si>
  <si>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</si>
  <si>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</si>
  <si>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</si>
  <si>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</si>
  <si>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</si>
  <si>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</si>
  <si>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</si>
  <si>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</si>
  <si>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</si>
  <si>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</si>
  <si>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</si>
  <si>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</si>
  <si>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</si>
  <si>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</si>
  <si>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</si>
  <si>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</si>
  <si>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</si>
  <si>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</si>
  <si>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</si>
  <si>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</si>
  <si>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</si>
  <si>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</si>
  <si>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</si>
  <si>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</si>
  <si>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</si>
  <si>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</si>
  <si>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</si>
  <si>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</si>
  <si>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</si>
  <si>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</si>
  <si>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</si>
  <si>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</si>
  <si>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</si>
  <si>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</si>
  <si>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</si>
  <si>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</si>
  <si>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</si>
  <si>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</si>
  <si>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</si>
  <si>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</si>
  <si>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</si>
  <si>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</si>
  <si>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</si>
  <si>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</si>
  <si>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</si>
  <si>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</si>
  <si>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</si>
  <si>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</si>
  <si>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</si>
  <si>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</si>
  <si>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</si>
  <si>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</si>
  <si>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</si>
  <si>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</si>
  <si>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</si>
  <si>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</si>
  <si>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</si>
  <si>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</si>
  <si>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</si>
  <si>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</si>
  <si>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</si>
  <si>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</si>
  <si>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</si>
  <si>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</si>
  <si>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</si>
  <si>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</si>
  <si>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</si>
  <si>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</si>
  <si>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</si>
  <si>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</si>
  <si>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</si>
  <si>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</si>
  <si>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</si>
  <si>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</si>
  <si>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</si>
  <si>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</si>
  <si>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</si>
  <si>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</si>
  <si>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</si>
  <si>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</si>
  <si>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</si>
  <si>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</si>
  <si>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</si>
  <si>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</si>
  <si>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</si>
  <si>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</si>
  <si>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</si>
  <si>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</si>
  <si>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</si>
  <si>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</si>
  <si>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</si>
  <si>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</si>
  <si>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</si>
  <si>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</si>
  <si>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</si>
  <si>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</si>
  <si>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</si>
  <si>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</si>
  <si>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</si>
  <si>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</si>
  <si>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</si>
  <si>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</si>
  <si>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</si>
  <si>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</si>
  <si>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</si>
  <si>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</si>
  <si>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</si>
  <si>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</si>
  <si>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</si>
  <si>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</si>
  <si>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</si>
  <si>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</si>
  <si>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</si>
  <si>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</si>
  <si>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</si>
  <si>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</si>
  <si>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</si>
  <si>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</si>
  <si>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</si>
  <si>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</si>
  <si>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</si>
  <si>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</si>
  <si>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</si>
  <si>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</si>
  <si>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</si>
  <si>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</si>
  <si>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</si>
  <si>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</si>
  <si>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</si>
  <si>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</si>
  <si>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</si>
  <si>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</si>
  <si>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</si>
  <si>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</si>
  <si>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</si>
  <si>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</si>
  <si>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</si>
  <si>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</si>
  <si>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</si>
  <si>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</si>
  <si>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</si>
  <si>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</si>
  <si>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</si>
  <si>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</si>
  <si>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</si>
  <si>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</si>
  <si>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</si>
  <si>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</si>
  <si>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</si>
  <si>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</si>
  <si>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</si>
  <si>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</si>
  <si>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</si>
  <si>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</si>
  <si>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</si>
  <si>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</si>
  <si>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</si>
  <si>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</si>
  <si>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</si>
  <si>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</si>
  <si>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</si>
  <si>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</si>
  <si>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</si>
  <si>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</si>
  <si>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</si>
  <si>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</si>
  <si>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</si>
  <si>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</si>
  <si>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</si>
  <si>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</si>
  <si>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</si>
  <si>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</si>
  <si>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</si>
  <si>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</si>
  <si>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</si>
  <si>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</si>
  <si>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</si>
  <si>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</si>
  <si>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</si>
  <si>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</si>
  <si>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</si>
  <si>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</si>
  <si>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</si>
  <si>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</si>
  <si>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</si>
  <si>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</si>
  <si>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</si>
  <si>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</si>
  <si>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</si>
  <si>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</si>
  <si>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</si>
  <si>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</si>
  <si>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</si>
  <si>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</si>
  <si>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</si>
  <si>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</si>
  <si>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</si>
  <si>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</si>
  <si>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</si>
  <si>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</si>
  <si>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</si>
  <si>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</si>
  <si>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</si>
  <si>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</si>
  <si>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</si>
  <si>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</si>
  <si>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</si>
  <si>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</si>
  <si>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</si>
  <si>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</si>
  <si>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</si>
  <si>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</si>
  <si>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</si>
  <si>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</si>
  <si>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</si>
  <si>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</si>
  <si>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</si>
  <si>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</si>
  <si>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</si>
  <si>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</si>
  <si>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</si>
  <si>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</si>
  <si>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</si>
  <si>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</si>
  <si>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</si>
  <si>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</si>
  <si>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</si>
  <si>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</si>
  <si>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</si>
  <si>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</si>
  <si>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</si>
  <si>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</si>
  <si>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</si>
  <si>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</si>
  <si>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</si>
  <si>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</si>
  <si>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</si>
  <si>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</si>
  <si>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</si>
  <si>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</si>
  <si>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</si>
  <si>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</si>
  <si>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</si>
  <si>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</si>
  <si>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</si>
  <si>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</si>
  <si>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</si>
  <si>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</si>
  <si>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</si>
  <si>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</si>
  <si>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</si>
  <si>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</si>
  <si>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</si>
  <si>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</si>
  <si>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</si>
  <si>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</si>
  <si>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</si>
  <si>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</si>
  <si>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</si>
  <si>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</si>
  <si>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</si>
  <si>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</si>
  <si>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</si>
  <si>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</si>
  <si>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</si>
  <si>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</si>
  <si>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</si>
  <si>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</si>
  <si>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</si>
  <si>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</si>
  <si>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</si>
  <si>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</si>
  <si>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</si>
  <si>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</si>
  <si>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</si>
  <si>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</si>
  <si>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</si>
  <si>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</si>
  <si>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</si>
  <si>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</si>
  <si>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</si>
  <si>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</si>
  <si>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</si>
  <si>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</si>
  <si>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</si>
  <si>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</si>
  <si>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</si>
  <si>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</si>
  <si>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</si>
  <si>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</si>
  <si>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</si>
  <si>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</si>
  <si>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</si>
  <si>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</si>
  <si>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</si>
  <si>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</si>
  <si>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</si>
  <si>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</si>
  <si>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</si>
  <si>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</si>
  <si>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</si>
  <si>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</si>
  <si>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</si>
  <si>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</si>
  <si>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</si>
  <si>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</si>
  <si>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</si>
  <si>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</si>
  <si>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</si>
  <si>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</si>
  <si>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</si>
  <si>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</si>
  <si>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</si>
  <si>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</si>
  <si>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</si>
  <si>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</si>
  <si>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</si>
  <si>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</si>
  <si>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</si>
  <si>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</si>
  <si>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</si>
  <si>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</si>
  <si>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</si>
  <si>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</si>
  <si>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</si>
  <si>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</si>
  <si>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</si>
  <si>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</si>
  <si>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</si>
  <si>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</si>
  <si>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</si>
  <si>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</si>
  <si>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</si>
  <si>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</si>
  <si>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</si>
  <si>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</si>
  <si>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</si>
  <si>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</si>
  <si>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</si>
  <si>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</si>
  <si>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</si>
  <si>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</si>
  <si>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</si>
  <si>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</si>
  <si>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</si>
  <si>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</si>
  <si>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</si>
  <si>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</si>
  <si>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</si>
  <si>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</si>
  <si>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</si>
  <si>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</si>
  <si>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</si>
  <si>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</si>
  <si>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</si>
  <si>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</si>
  <si>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</si>
  <si>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</si>
  <si>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</si>
  <si>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</si>
  <si>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</si>
  <si>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</si>
  <si>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</si>
  <si>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</si>
  <si>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</si>
  <si>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</si>
  <si>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</si>
  <si>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</si>
  <si>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</si>
  <si>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</si>
  <si>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</si>
  <si>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</si>
  <si>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</si>
  <si>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</si>
  <si>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</si>
  <si>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</si>
  <si>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</si>
  <si>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</si>
  <si>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</si>
  <si>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</si>
  <si>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</si>
  <si>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</si>
  <si>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</si>
  <si>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</si>
  <si>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</si>
  <si>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</si>
  <si>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</si>
  <si>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</si>
  <si>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</si>
  <si>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</si>
  <si>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</si>
  <si>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</si>
  <si>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</si>
  <si>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</si>
  <si>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</si>
  <si>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</si>
  <si>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</si>
  <si>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</si>
  <si>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</si>
  <si>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</si>
  <si>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</si>
  <si>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</si>
  <si>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</si>
  <si>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</si>
  <si>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</si>
  <si>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</si>
  <si>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</si>
  <si>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</si>
  <si>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</si>
  <si>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</si>
  <si>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</si>
  <si>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</si>
  <si>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</si>
  <si>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</si>
  <si>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</si>
  <si>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</si>
  <si>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</si>
  <si>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</si>
  <si>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</si>
  <si>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</si>
  <si>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</si>
  <si>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</si>
  <si>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</si>
  <si>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</si>
  <si>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</si>
  <si>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</si>
  <si>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</si>
  <si>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</si>
  <si>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</si>
  <si>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</si>
  <si>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</si>
  <si>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</si>
  <si>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</si>
  <si>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</si>
  <si>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</si>
  <si>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</si>
  <si>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</si>
  <si>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</si>
  <si>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</si>
  <si>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</si>
  <si>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</si>
  <si>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</si>
  <si>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</si>
  <si>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</si>
  <si>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</si>
  <si>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</si>
  <si>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</si>
  <si>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</si>
  <si>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</si>
  <si>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</si>
  <si>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</si>
  <si>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</si>
  <si>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</si>
  <si>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</si>
  <si>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</si>
  <si>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</si>
  <si>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</si>
  <si>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</si>
  <si>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</si>
  <si>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</si>
  <si>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</si>
  <si>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</si>
  <si>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</si>
  <si>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</si>
  <si>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</si>
  <si>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</si>
  <si>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</si>
  <si>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</si>
  <si>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</si>
  <si>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</si>
  <si>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</si>
  <si>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</si>
  <si>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</si>
  <si>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</si>
  <si>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</si>
  <si>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</si>
  <si>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</si>
  <si>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</si>
  <si>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</si>
  <si>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</si>
  <si>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</si>
  <si>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</si>
  <si>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</si>
  <si>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</si>
  <si>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</si>
  <si>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</si>
  <si>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</si>
  <si>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</si>
  <si>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</si>
  <si>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</si>
  <si>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</si>
  <si>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</si>
  <si>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</si>
  <si>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</si>
  <si>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</si>
  <si>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</si>
  <si>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</si>
  <si>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</si>
  <si>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</si>
  <si>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</si>
  <si>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</si>
  <si>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</si>
  <si>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</si>
  <si>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</si>
  <si>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</si>
  <si>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</si>
  <si>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</si>
  <si>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</si>
  <si>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</si>
  <si>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</si>
  <si>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</si>
  <si>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</si>
  <si>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</si>
  <si>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</si>
  <si>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</si>
  <si>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</si>
  <si>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</si>
  <si>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</si>
  <si>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</si>
  <si>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</si>
  <si>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</si>
  <si>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</si>
  <si>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</si>
  <si>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</si>
  <si>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</si>
  <si>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</si>
  <si>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</si>
  <si>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</si>
  <si>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</si>
  <si>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</si>
  <si>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</si>
  <si>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</si>
  <si>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</si>
  <si>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</si>
  <si>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</si>
  <si>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</si>
  <si>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</si>
  <si>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</si>
  <si>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</si>
  <si>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</si>
  <si>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</si>
  <si>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</si>
  <si>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</si>
  <si>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</si>
  <si>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</si>
  <si>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</si>
  <si>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</si>
  <si>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</si>
  <si>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</si>
  <si>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</si>
  <si>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</si>
  <si>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</si>
  <si>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</si>
  <si>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</si>
  <si>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</si>
  <si>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</si>
  <si>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</si>
  <si>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</si>
  <si>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</si>
  <si>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</si>
  <si>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</si>
  <si>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</si>
  <si>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</si>
  <si>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</si>
  <si>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</si>
  <si>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</si>
  <si>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</si>
  <si>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</si>
  <si>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</si>
  <si>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</si>
  <si>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</si>
  <si>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</si>
  <si>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</si>
  <si>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</si>
  <si>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</si>
  <si>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</si>
  <si>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</si>
  <si>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</si>
  <si>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</si>
  <si>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</si>
  <si>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</si>
  <si>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</si>
  <si>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</si>
  <si>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</si>
  <si>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</si>
  <si>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</si>
  <si>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</si>
  <si>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</si>
  <si>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</si>
  <si>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</si>
  <si>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</si>
  <si>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</si>
  <si>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</si>
  <si>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11/01</t>
  </si>
  <si>
    <t>08/03</t>
  </si>
  <si>
    <t>11/21</t>
  </si>
  <si>
    <t>02/23</t>
  </si>
  <si>
    <t>06/16</t>
  </si>
  <si>
    <t>07/26</t>
  </si>
  <si>
    <t>Oyster River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</si>
</sst>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423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1237250.75</v>
      </c>
      <c r="G9" s="18"/>
      <c r="H9" s="18"/>
      <c r="I9" s="18">
        <v>1500055.48</v>
      </c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1160066.43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1679831.49</v>
      </c>
      <c r="G12" s="18">
        <v>21094.59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158688.73000000001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113021.38</v>
      </c>
      <c r="G14" s="18">
        <v>9300.9599999999991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83638.44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3113742.06</v>
      </c>
      <c r="G19" s="41">
        <f>SUM(G9:G18)</f>
        <v>30395.55</v>
      </c>
      <c r="H19" s="41">
        <f>SUM(H9:H18)</f>
        <v>158688.73000000001</v>
      </c>
      <c r="I19" s="41">
        <f>SUM(I9:I18)</f>
        <v>1500055.48</v>
      </c>
      <c r="J19" s="41">
        <f>SUM(J9:J18)</f>
        <v>1160066.43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100005.08</v>
      </c>
      <c r="I22" s="18">
        <v>1600345</v>
      </c>
      <c r="J22" s="67">
        <f>SUM(I448)</f>
        <v>576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129220.94</v>
      </c>
      <c r="G24" s="18">
        <v>101.83</v>
      </c>
      <c r="H24" s="18">
        <v>9817.85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33414.53</v>
      </c>
      <c r="G28" s="18"/>
      <c r="H28" s="18"/>
      <c r="I28" s="18">
        <v>27548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759231.67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30273.33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1135.77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923002.91</v>
      </c>
      <c r="G32" s="41">
        <f>SUM(G22:G31)</f>
        <v>30375.160000000003</v>
      </c>
      <c r="H32" s="41">
        <f>SUM(H22:H31)</f>
        <v>109822.93000000001</v>
      </c>
      <c r="I32" s="41">
        <f>SUM(I22:I31)</f>
        <v>1627893</v>
      </c>
      <c r="J32" s="41">
        <f>SUM(J22:J31)</f>
        <v>576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83638.44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20.39</v>
      </c>
      <c r="H43" s="18"/>
      <c r="I43" s="18"/>
      <c r="J43" s="13">
        <f>SUM(I456)</f>
        <v>1159490.43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313478.25</v>
      </c>
      <c r="G48" s="18"/>
      <c r="H48" s="18">
        <f>35148.57+13717.23</f>
        <v>48865.8</v>
      </c>
      <c r="I48" s="18">
        <v>-127837.52</v>
      </c>
      <c r="J48" s="13">
        <f>SUM(I459)</f>
        <v>0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55265.38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107620.19+530736.89</f>
        <v>638357.08000000007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2190739.15</v>
      </c>
      <c r="G51" s="41">
        <f>SUM(G35:G50)</f>
        <v>20.39</v>
      </c>
      <c r="H51" s="41">
        <f>SUM(H35:H50)</f>
        <v>48865.8</v>
      </c>
      <c r="I51" s="41">
        <f>SUM(I35:I50)</f>
        <v>-127837.52</v>
      </c>
      <c r="J51" s="41">
        <f>SUM(J35:J50)</f>
        <v>1159490.43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3113742.06</v>
      </c>
      <c r="G52" s="41">
        <f>G51+G32</f>
        <v>30395.550000000003</v>
      </c>
      <c r="H52" s="41">
        <f>H51+H32</f>
        <v>158688.73000000001</v>
      </c>
      <c r="I52" s="41">
        <f>I51+I32</f>
        <v>1500055.48</v>
      </c>
      <c r="J52" s="41">
        <f>J51+J32</f>
        <v>1160066.43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27617264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27617264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7998.5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1557044.2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1565042.7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6864.39</v>
      </c>
      <c r="G96" s="18"/>
      <c r="H96" s="18"/>
      <c r="I96" s="18">
        <v>55.48</v>
      </c>
      <c r="J96" s="18">
        <v>190.71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555869.52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31135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26719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>
        <v>750</v>
      </c>
      <c r="H102" s="18"/>
      <c r="I102" s="18">
        <v>250</v>
      </c>
      <c r="J102" s="18">
        <v>5471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>
        <v>3400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3374.73</v>
      </c>
      <c r="G110" s="18"/>
      <c r="H110" s="18">
        <v>14687.37</v>
      </c>
      <c r="I110" s="18"/>
      <c r="J110" s="18">
        <v>13431.29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36958.120000000003</v>
      </c>
      <c r="G111" s="41">
        <f>SUM(G96:G110)</f>
        <v>556619.52000000002</v>
      </c>
      <c r="H111" s="41">
        <f>SUM(H96:H110)</f>
        <v>49222.37</v>
      </c>
      <c r="I111" s="41">
        <f>SUM(I96:I110)</f>
        <v>305.48</v>
      </c>
      <c r="J111" s="41">
        <f>SUM(J96:J110)</f>
        <v>19093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29219264.82</v>
      </c>
      <c r="G112" s="41">
        <f>G60+G111</f>
        <v>556619.52000000002</v>
      </c>
      <c r="H112" s="41">
        <f>H60+H79+H94+H111</f>
        <v>49222.37</v>
      </c>
      <c r="I112" s="41">
        <f>I60+I111</f>
        <v>305.48</v>
      </c>
      <c r="J112" s="41">
        <f>J60+J111</f>
        <v>19093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4870897.28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3746735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8617632.2800000012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523742.1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185139.65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3123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6144.73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5670.66</v>
      </c>
      <c r="G135" s="18"/>
      <c r="H135" s="18">
        <f>73814.22+54951.95</f>
        <v>128766.17</v>
      </c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717675.41</v>
      </c>
      <c r="G136" s="41">
        <f>SUM(G123:G135)</f>
        <v>6144.73</v>
      </c>
      <c r="H136" s="41">
        <f>SUM(H123:H135)</f>
        <v>128766.17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9335307.6900000013</v>
      </c>
      <c r="G140" s="41">
        <f>G121+SUM(G136:G137)</f>
        <v>6144.73</v>
      </c>
      <c r="H140" s="41">
        <f>H121+SUM(H136:H139)</f>
        <v>128766.17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107820.78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83765.98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93687.26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433872.79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396099.5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42043.21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438142.71</v>
      </c>
      <c r="G162" s="41">
        <f>SUM(G150:G161)</f>
        <v>93687.26</v>
      </c>
      <c r="H162" s="41">
        <f>SUM(H150:H161)</f>
        <v>625459.55000000005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438142.71</v>
      </c>
      <c r="G169" s="41">
        <f>G147+G162+SUM(G163:G168)</f>
        <v>93687.26</v>
      </c>
      <c r="H169" s="41">
        <f>H147+H162+SUM(H163:H168)</f>
        <v>625459.55000000005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1500000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1500000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66182.350000000006</v>
      </c>
      <c r="H179" s="18"/>
      <c r="I179" s="18"/>
      <c r="J179" s="18">
        <v>200000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66182.350000000006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66182.350000000006</v>
      </c>
      <c r="H192" s="41">
        <f>+H183+SUM(H188:H191)</f>
        <v>0</v>
      </c>
      <c r="I192" s="41">
        <f>I177+I183+SUM(I188:I191)</f>
        <v>1500000</v>
      </c>
      <c r="J192" s="41">
        <f>J183</f>
        <v>200000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38992715.220000006</v>
      </c>
      <c r="G193" s="47">
        <f>G112+G140+G169+G192</f>
        <v>722633.86</v>
      </c>
      <c r="H193" s="47">
        <f>H112+H140+H169+H192</f>
        <v>803448.09000000008</v>
      </c>
      <c r="I193" s="47">
        <f>I112+I140+I169+I192</f>
        <v>1500305.48</v>
      </c>
      <c r="J193" s="47">
        <f>J112+J140+J192</f>
        <v>219093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3562900.6500000004</v>
      </c>
      <c r="G197" s="18">
        <v>1344293.03</v>
      </c>
      <c r="H197" s="18">
        <v>20973.33</v>
      </c>
      <c r="I197" s="18">
        <v>127995.63</v>
      </c>
      <c r="J197" s="18">
        <v>12995.14</v>
      </c>
      <c r="K197" s="18">
        <v>84</v>
      </c>
      <c r="L197" s="19">
        <f>SUM(F197:K197)</f>
        <v>5069241.78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1039973.57</v>
      </c>
      <c r="G198" s="18">
        <v>384279.19999999995</v>
      </c>
      <c r="H198" s="18">
        <v>539659.48</v>
      </c>
      <c r="I198" s="18">
        <v>8447.34</v>
      </c>
      <c r="J198" s="18">
        <v>215</v>
      </c>
      <c r="K198" s="18">
        <v>4347.01</v>
      </c>
      <c r="L198" s="19">
        <f>SUM(F198:K198)</f>
        <v>1976921.6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44647.590000000004</v>
      </c>
      <c r="G200" s="18">
        <v>6184.4999999999991</v>
      </c>
      <c r="H200" s="18">
        <v>27248.739999999998</v>
      </c>
      <c r="I200" s="18">
        <v>4180.72</v>
      </c>
      <c r="J200" s="18">
        <v>0</v>
      </c>
      <c r="K200" s="18">
        <v>0</v>
      </c>
      <c r="L200" s="19">
        <f>SUM(F200:K200)</f>
        <v>82261.55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876444.07999999984</v>
      </c>
      <c r="G202" s="18">
        <v>382153.49</v>
      </c>
      <c r="H202" s="18">
        <v>258309.74</v>
      </c>
      <c r="I202" s="18">
        <v>41110.36</v>
      </c>
      <c r="J202" s="18">
        <v>56113.07</v>
      </c>
      <c r="K202" s="18">
        <v>2091.2800000000002</v>
      </c>
      <c r="L202" s="19">
        <f t="shared" ref="L202:L208" si="0">SUM(F202:K202)</f>
        <v>1616222.02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232198.33</v>
      </c>
      <c r="G203" s="18">
        <v>85447.99</v>
      </c>
      <c r="H203" s="18">
        <v>39694.550000000003</v>
      </c>
      <c r="I203" s="18">
        <v>39726.800000000003</v>
      </c>
      <c r="J203" s="18">
        <v>12880.970000000001</v>
      </c>
      <c r="K203" s="18"/>
      <c r="L203" s="19">
        <f t="shared" si="0"/>
        <v>409948.64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203204.78</v>
      </c>
      <c r="G204" s="18">
        <v>75512.479999999996</v>
      </c>
      <c r="H204" s="18">
        <v>45057.279999999999</v>
      </c>
      <c r="I204" s="18">
        <v>7589.62</v>
      </c>
      <c r="J204" s="18"/>
      <c r="K204" s="18">
        <v>6033.44</v>
      </c>
      <c r="L204" s="19">
        <f t="shared" si="0"/>
        <v>337397.60000000003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361000.44999999995</v>
      </c>
      <c r="G205" s="18">
        <v>170994.46999999997</v>
      </c>
      <c r="H205" s="18">
        <v>77084.86</v>
      </c>
      <c r="I205" s="18">
        <v>7959.51</v>
      </c>
      <c r="J205" s="18"/>
      <c r="K205" s="18">
        <v>1833.1</v>
      </c>
      <c r="L205" s="19">
        <f t="shared" si="0"/>
        <v>618872.3899999999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-36233.365662122691</v>
      </c>
      <c r="G206" s="18">
        <v>35903.67801850049</v>
      </c>
      <c r="H206" s="18">
        <v>64777.578704965912</v>
      </c>
      <c r="I206" s="18">
        <v>1545.4234128529697</v>
      </c>
      <c r="J206" s="18">
        <v>1166.1296738072053</v>
      </c>
      <c r="K206" s="18">
        <v>610.17185978578379</v>
      </c>
      <c r="L206" s="19">
        <f t="shared" si="0"/>
        <v>67769.616007789678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271632.71999999997</v>
      </c>
      <c r="G207" s="18">
        <v>118848.51</v>
      </c>
      <c r="H207" s="18">
        <v>598507.07999999996</v>
      </c>
      <c r="I207" s="18">
        <v>145650.63</v>
      </c>
      <c r="J207" s="18">
        <v>10037.44</v>
      </c>
      <c r="K207" s="18"/>
      <c r="L207" s="19">
        <f t="shared" si="0"/>
        <v>1144676.3799999999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380988.58999999991</v>
      </c>
      <c r="G208" s="18">
        <v>250012.18000000002</v>
      </c>
      <c r="H208" s="18">
        <v>85242.785000000003</v>
      </c>
      <c r="I208" s="18">
        <v>76717.87</v>
      </c>
      <c r="J208" s="18">
        <v>139729.42499999999</v>
      </c>
      <c r="K208" s="18">
        <v>416</v>
      </c>
      <c r="L208" s="19">
        <f t="shared" si="0"/>
        <v>933106.84999999986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6936757.3943378776</v>
      </c>
      <c r="G211" s="41">
        <f t="shared" si="1"/>
        <v>2853629.5280185007</v>
      </c>
      <c r="H211" s="41">
        <f t="shared" si="1"/>
        <v>1756555.4237049657</v>
      </c>
      <c r="I211" s="41">
        <f t="shared" si="1"/>
        <v>460923.90341285296</v>
      </c>
      <c r="J211" s="41">
        <f t="shared" si="1"/>
        <v>233137.1746738072</v>
      </c>
      <c r="K211" s="41">
        <f t="shared" si="1"/>
        <v>15415.001859785783</v>
      </c>
      <c r="L211" s="41">
        <f t="shared" si="1"/>
        <v>12256418.42600779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3668842.73</v>
      </c>
      <c r="G215" s="18">
        <v>1581132.38</v>
      </c>
      <c r="H215" s="18">
        <v>30832.729999999996</v>
      </c>
      <c r="I215" s="18">
        <v>75328.75</v>
      </c>
      <c r="J215" s="18">
        <v>25190.89</v>
      </c>
      <c r="K215" s="18">
        <v>81.48</v>
      </c>
      <c r="L215" s="19">
        <f>SUM(F215:K215)</f>
        <v>5381408.96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1359997.6199999999</v>
      </c>
      <c r="G216" s="18">
        <v>502438.79000000004</v>
      </c>
      <c r="H216" s="18">
        <v>162350.22</v>
      </c>
      <c r="I216" s="18">
        <v>8973</v>
      </c>
      <c r="J216" s="18">
        <v>239.85</v>
      </c>
      <c r="K216" s="18">
        <v>4386.12</v>
      </c>
      <c r="L216" s="19">
        <f>SUM(F216:K216)</f>
        <v>2038385.6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110942.32</v>
      </c>
      <c r="G218" s="18">
        <v>20243.66</v>
      </c>
      <c r="H218" s="18">
        <v>11205.5</v>
      </c>
      <c r="I218" s="18">
        <v>10085.86</v>
      </c>
      <c r="J218" s="18">
        <v>0</v>
      </c>
      <c r="K218" s="18">
        <v>319.89999999999998</v>
      </c>
      <c r="L218" s="19">
        <f>SUM(F218:K218)</f>
        <v>152797.24000000002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727259.44</v>
      </c>
      <c r="G220" s="18">
        <v>247265.61000000004</v>
      </c>
      <c r="H220" s="18">
        <v>261076.59</v>
      </c>
      <c r="I220" s="18">
        <v>40362.679999999993</v>
      </c>
      <c r="J220" s="18">
        <v>51857.37</v>
      </c>
      <c r="K220" s="18">
        <v>2110.09</v>
      </c>
      <c r="L220" s="19">
        <f t="shared" ref="L220:L226" si="2">SUM(F220:K220)</f>
        <v>1329931.7800000003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136649.51999999999</v>
      </c>
      <c r="G221" s="18">
        <v>46070.73000000001</v>
      </c>
      <c r="H221" s="18">
        <v>43242.66</v>
      </c>
      <c r="I221" s="18">
        <v>39246.880000000012</v>
      </c>
      <c r="J221" s="18">
        <v>48363.130000000005</v>
      </c>
      <c r="K221" s="18"/>
      <c r="L221" s="19">
        <f t="shared" si="2"/>
        <v>313572.92000000004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219384.43</v>
      </c>
      <c r="G222" s="18">
        <v>81699.73000000001</v>
      </c>
      <c r="H222" s="18">
        <v>45462.59</v>
      </c>
      <c r="I222" s="18">
        <v>7657.89</v>
      </c>
      <c r="J222" s="18"/>
      <c r="K222" s="18">
        <v>6087.71</v>
      </c>
      <c r="L222" s="19">
        <f t="shared" si="2"/>
        <v>360292.35000000003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267766.03000000003</v>
      </c>
      <c r="G223" s="18">
        <v>144010.62</v>
      </c>
      <c r="H223" s="18">
        <v>35628.39</v>
      </c>
      <c r="I223" s="18">
        <v>3176.98</v>
      </c>
      <c r="J223" s="18"/>
      <c r="K223" s="18">
        <v>2010.92</v>
      </c>
      <c r="L223" s="19">
        <f t="shared" si="2"/>
        <v>452592.94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-36559.302984420647</v>
      </c>
      <c r="G224" s="18">
        <v>36226.649634858819</v>
      </c>
      <c r="H224" s="18">
        <v>65360.285559883145</v>
      </c>
      <c r="I224" s="18">
        <v>1559.3252726387536</v>
      </c>
      <c r="J224" s="18">
        <v>1176.6195959104186</v>
      </c>
      <c r="K224" s="18">
        <v>615.66066212268743</v>
      </c>
      <c r="L224" s="19">
        <f t="shared" si="2"/>
        <v>68379.23774099318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260869.28</v>
      </c>
      <c r="G225" s="18">
        <v>150711.93000000002</v>
      </c>
      <c r="H225" s="18">
        <v>454574.79000000004</v>
      </c>
      <c r="I225" s="18">
        <v>144299.47</v>
      </c>
      <c r="J225" s="18">
        <v>12276.7</v>
      </c>
      <c r="K225" s="18"/>
      <c r="L225" s="19">
        <f t="shared" si="2"/>
        <v>1022732.1699999999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222587.04999999996</v>
      </c>
      <c r="G226" s="18">
        <v>136475.23500000002</v>
      </c>
      <c r="H226" s="18">
        <v>47890.987499999996</v>
      </c>
      <c r="I226" s="18">
        <v>42692.625</v>
      </c>
      <c r="J226" s="18">
        <v>69864.712499999994</v>
      </c>
      <c r="K226" s="18">
        <v>208</v>
      </c>
      <c r="L226" s="19">
        <f t="shared" si="2"/>
        <v>519718.61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6937739.1170155788</v>
      </c>
      <c r="G229" s="41">
        <f>SUM(G215:G228)</f>
        <v>2946275.3346348586</v>
      </c>
      <c r="H229" s="41">
        <f>SUM(H215:H228)</f>
        <v>1157624.7430598831</v>
      </c>
      <c r="I229" s="41">
        <f>SUM(I215:I228)</f>
        <v>373383.46027263877</v>
      </c>
      <c r="J229" s="41">
        <f>SUM(J215:J228)</f>
        <v>208969.27209591042</v>
      </c>
      <c r="K229" s="41">
        <f t="shared" si="3"/>
        <v>15819.880662122687</v>
      </c>
      <c r="L229" s="41">
        <f t="shared" si="3"/>
        <v>11639811.807740994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3691432.9599999995</v>
      </c>
      <c r="G233" s="18">
        <v>1634076.2</v>
      </c>
      <c r="H233" s="18">
        <v>42637.35</v>
      </c>
      <c r="I233" s="18">
        <v>138045.59</v>
      </c>
      <c r="J233" s="18">
        <v>18088.95</v>
      </c>
      <c r="K233" s="18">
        <v>0</v>
      </c>
      <c r="L233" s="19">
        <f>SUM(F233:K233)</f>
        <v>5524281.0499999989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1160812.3500000001</v>
      </c>
      <c r="G234" s="18">
        <v>462155.82</v>
      </c>
      <c r="H234" s="18">
        <v>240902.47</v>
      </c>
      <c r="I234" s="18">
        <v>9201.9500000000007</v>
      </c>
      <c r="J234" s="18">
        <v>0</v>
      </c>
      <c r="K234" s="18">
        <v>4653.32</v>
      </c>
      <c r="L234" s="19">
        <f>SUM(F234:K234)</f>
        <v>1877725.9100000001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17277.14</v>
      </c>
      <c r="I235" s="18"/>
      <c r="J235" s="18"/>
      <c r="K235" s="18"/>
      <c r="L235" s="19">
        <f>SUM(F235:K235)</f>
        <v>17277.14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292608.06</v>
      </c>
      <c r="G236" s="18">
        <v>69242.259999999995</v>
      </c>
      <c r="H236" s="18">
        <v>79507.850000000006</v>
      </c>
      <c r="I236" s="18">
        <v>42499.24</v>
      </c>
      <c r="J236" s="18">
        <v>225.8</v>
      </c>
      <c r="K236" s="18">
        <v>49910.41</v>
      </c>
      <c r="L236" s="19">
        <f>SUM(F236:K236)</f>
        <v>533993.62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767094.41999999993</v>
      </c>
      <c r="G238" s="18">
        <v>323477.55</v>
      </c>
      <c r="H238" s="18">
        <v>313213.14</v>
      </c>
      <c r="I238" s="18">
        <v>44207.17</v>
      </c>
      <c r="J238" s="18">
        <v>54570.619999999995</v>
      </c>
      <c r="K238" s="18">
        <v>2313.6299999999997</v>
      </c>
      <c r="L238" s="19">
        <f t="shared" ref="L238:L244" si="4">SUM(F238:K238)</f>
        <v>1504876.5299999998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130004.5</v>
      </c>
      <c r="G239" s="18">
        <v>56411.479999999996</v>
      </c>
      <c r="H239" s="18">
        <v>43086.75</v>
      </c>
      <c r="I239" s="18">
        <v>28404.75</v>
      </c>
      <c r="J239" s="18">
        <v>15565.02</v>
      </c>
      <c r="K239" s="18"/>
      <c r="L239" s="19">
        <f t="shared" si="4"/>
        <v>273472.5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264503.39</v>
      </c>
      <c r="G240" s="18">
        <v>104601.31</v>
      </c>
      <c r="H240" s="18">
        <v>48232.240000000005</v>
      </c>
      <c r="I240" s="18">
        <v>8124.41</v>
      </c>
      <c r="J240" s="18"/>
      <c r="K240" s="18">
        <v>6458.58</v>
      </c>
      <c r="L240" s="19">
        <f t="shared" si="4"/>
        <v>431919.93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311820.45</v>
      </c>
      <c r="G241" s="18">
        <v>147924.65</v>
      </c>
      <c r="H241" s="18">
        <v>47790.86</v>
      </c>
      <c r="I241" s="18">
        <v>5707.76</v>
      </c>
      <c r="J241" s="18"/>
      <c r="K241" s="18">
        <v>5138.28</v>
      </c>
      <c r="L241" s="19">
        <f t="shared" si="4"/>
        <v>518382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-38786.541353456676</v>
      </c>
      <c r="G242" s="18">
        <v>38433.622346640703</v>
      </c>
      <c r="H242" s="18">
        <v>69342.115735150917</v>
      </c>
      <c r="I242" s="18">
        <v>1654.3213145082764</v>
      </c>
      <c r="J242" s="18">
        <v>1248.3007302823758</v>
      </c>
      <c r="K242" s="18">
        <v>653.16747809152866</v>
      </c>
      <c r="L242" s="19">
        <f t="shared" si="4"/>
        <v>72544.986251217124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425822.52</v>
      </c>
      <c r="G243" s="18">
        <v>193311.97</v>
      </c>
      <c r="H243" s="18">
        <v>505322.63</v>
      </c>
      <c r="I243" s="18">
        <v>348606.19</v>
      </c>
      <c r="J243" s="18">
        <v>22718.49</v>
      </c>
      <c r="K243" s="18"/>
      <c r="L243" s="19">
        <f t="shared" si="4"/>
        <v>1495781.8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250006.03999999995</v>
      </c>
      <c r="G244" s="18">
        <v>139576.41500000001</v>
      </c>
      <c r="H244" s="18">
        <v>44002.887500000004</v>
      </c>
      <c r="I244" s="18">
        <v>43215.974999999999</v>
      </c>
      <c r="J244" s="18">
        <v>69864.712499999994</v>
      </c>
      <c r="K244" s="18">
        <v>208</v>
      </c>
      <c r="L244" s="19">
        <f t="shared" si="4"/>
        <v>546874.02999999991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7255318.1486465419</v>
      </c>
      <c r="G247" s="41">
        <f t="shared" si="5"/>
        <v>3169211.2773466404</v>
      </c>
      <c r="H247" s="41">
        <f t="shared" si="5"/>
        <v>1451315.433235151</v>
      </c>
      <c r="I247" s="41">
        <f t="shared" si="5"/>
        <v>669667.35631450824</v>
      </c>
      <c r="J247" s="41">
        <f t="shared" si="5"/>
        <v>182281.89323028238</v>
      </c>
      <c r="K247" s="41">
        <f t="shared" si="5"/>
        <v>69335.387478091536</v>
      </c>
      <c r="L247" s="41">
        <f t="shared" si="5"/>
        <v>12797129.496251214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21129814.659999996</v>
      </c>
      <c r="G257" s="41">
        <f t="shared" si="8"/>
        <v>8969116.1400000006</v>
      </c>
      <c r="H257" s="41">
        <f t="shared" si="8"/>
        <v>4365495.5999999996</v>
      </c>
      <c r="I257" s="41">
        <f t="shared" si="8"/>
        <v>1503974.72</v>
      </c>
      <c r="J257" s="41">
        <f t="shared" si="8"/>
        <v>624388.34</v>
      </c>
      <c r="K257" s="41">
        <f t="shared" si="8"/>
        <v>100570.27</v>
      </c>
      <c r="L257" s="41">
        <f t="shared" si="8"/>
        <v>36693359.730000004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1135000</v>
      </c>
      <c r="L260" s="19">
        <f>SUM(F260:K260)</f>
        <v>1135000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367436.25</v>
      </c>
      <c r="L261" s="19">
        <f>SUM(F261:K261)</f>
        <v>367436.25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66182.350000000006</v>
      </c>
      <c r="L263" s="19">
        <f>SUM(F263:K263)</f>
        <v>66182.350000000006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1768618.6</v>
      </c>
      <c r="L270" s="41">
        <f t="shared" si="9"/>
        <v>1768618.6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21129814.659999996</v>
      </c>
      <c r="G271" s="42">
        <f t="shared" si="11"/>
        <v>8969116.1400000006</v>
      </c>
      <c r="H271" s="42">
        <f t="shared" si="11"/>
        <v>4365495.5999999996</v>
      </c>
      <c r="I271" s="42">
        <f t="shared" si="11"/>
        <v>1503974.72</v>
      </c>
      <c r="J271" s="42">
        <f t="shared" si="11"/>
        <v>624388.34</v>
      </c>
      <c r="K271" s="42">
        <f t="shared" si="11"/>
        <v>1869188.87</v>
      </c>
      <c r="L271" s="42">
        <f t="shared" si="11"/>
        <v>38461978.330000006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2489.66+89888.45</f>
        <v>92378.11</v>
      </c>
      <c r="G276" s="18">
        <f>215.9+31694.24</f>
        <v>31910.140000000003</v>
      </c>
      <c r="H276" s="18">
        <v>4651.8100000000004</v>
      </c>
      <c r="I276" s="18"/>
      <c r="J276" s="18"/>
      <c r="K276" s="18"/>
      <c r="L276" s="19">
        <f>SUM(F276:K276)</f>
        <v>128940.06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904.8</v>
      </c>
      <c r="G277" s="18">
        <v>185.11</v>
      </c>
      <c r="H277" s="18">
        <f>2531.51+15206</f>
        <v>17737.510000000002</v>
      </c>
      <c r="I277" s="18">
        <v>997.03</v>
      </c>
      <c r="J277" s="18"/>
      <c r="K277" s="18"/>
      <c r="L277" s="19">
        <f>SUM(F277:K277)</f>
        <v>19824.45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6231.21</v>
      </c>
      <c r="G279" s="18">
        <v>821.59</v>
      </c>
      <c r="H279" s="18">
        <v>0</v>
      </c>
      <c r="I279" s="18">
        <v>-440.45</v>
      </c>
      <c r="J279" s="18"/>
      <c r="K279" s="18"/>
      <c r="L279" s="19">
        <f>SUM(F279:K279)</f>
        <v>6612.35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329.6</v>
      </c>
      <c r="G282" s="18">
        <v>23.87</v>
      </c>
      <c r="H282" s="18">
        <v>15236.1</v>
      </c>
      <c r="I282" s="18"/>
      <c r="J282" s="18"/>
      <c r="K282" s="18"/>
      <c r="L282" s="19">
        <f t="shared" si="12"/>
        <v>15589.57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3999.56</v>
      </c>
      <c r="I286" s="18"/>
      <c r="J286" s="18"/>
      <c r="K286" s="18"/>
      <c r="L286" s="19">
        <f t="shared" si="12"/>
        <v>3999.56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17860.27</v>
      </c>
      <c r="K287" s="18"/>
      <c r="L287" s="19">
        <f t="shared" si="12"/>
        <v>17860.27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>
        <v>0</v>
      </c>
      <c r="H288" s="18">
        <v>1461.13</v>
      </c>
      <c r="I288" s="18">
        <f>1269.97+725</f>
        <v>1994.97</v>
      </c>
      <c r="J288" s="18">
        <v>17092.66</v>
      </c>
      <c r="K288" s="18"/>
      <c r="L288" s="19">
        <f>SUM(F288:K288)</f>
        <v>20548.760000000002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99843.720000000016</v>
      </c>
      <c r="G290" s="42">
        <f t="shared" si="13"/>
        <v>32940.710000000006</v>
      </c>
      <c r="H290" s="42">
        <f t="shared" si="13"/>
        <v>43086.11</v>
      </c>
      <c r="I290" s="42">
        <f t="shared" si="13"/>
        <v>2551.5500000000002</v>
      </c>
      <c r="J290" s="42">
        <f t="shared" si="13"/>
        <v>34952.93</v>
      </c>
      <c r="K290" s="42">
        <f t="shared" si="13"/>
        <v>0</v>
      </c>
      <c r="L290" s="41">
        <f t="shared" si="13"/>
        <v>213375.02000000002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2512.05</f>
        <v>2512.0500000000002</v>
      </c>
      <c r="G295" s="18">
        <f>217.85</f>
        <v>217.85</v>
      </c>
      <c r="H295" s="18">
        <v>4693.66</v>
      </c>
      <c r="I295" s="18"/>
      <c r="J295" s="18"/>
      <c r="K295" s="18"/>
      <c r="L295" s="19">
        <f>SUM(F295:K295)</f>
        <v>7423.5599999999995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912.94+150364</f>
        <v>151276.94</v>
      </c>
      <c r="G296" s="18">
        <f>186.78+69642.41</f>
        <v>69829.19</v>
      </c>
      <c r="H296" s="18">
        <v>2554.2800000000002</v>
      </c>
      <c r="I296" s="18">
        <v>1006</v>
      </c>
      <c r="J296" s="18"/>
      <c r="K296" s="18"/>
      <c r="L296" s="19">
        <f>SUM(F296:K296)</f>
        <v>224666.41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6287.26</v>
      </c>
      <c r="G298" s="18">
        <v>828.98</v>
      </c>
      <c r="H298" s="18">
        <v>0</v>
      </c>
      <c r="I298" s="18">
        <v>-444.41</v>
      </c>
      <c r="J298" s="18"/>
      <c r="K298" s="18"/>
      <c r="L298" s="19">
        <f>SUM(F298:K298)</f>
        <v>6671.83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332.57</v>
      </c>
      <c r="G301" s="18">
        <v>24.09</v>
      </c>
      <c r="H301" s="18">
        <v>15373.16</v>
      </c>
      <c r="I301" s="18"/>
      <c r="J301" s="18"/>
      <c r="K301" s="18"/>
      <c r="L301" s="19">
        <f t="shared" si="14"/>
        <v>15729.82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4035.54</v>
      </c>
      <c r="I305" s="18"/>
      <c r="J305" s="18"/>
      <c r="K305" s="18"/>
      <c r="L305" s="19">
        <f t="shared" si="14"/>
        <v>4035.54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>
        <v>18020.93</v>
      </c>
      <c r="K306" s="18"/>
      <c r="L306" s="19">
        <f t="shared" si="14"/>
        <v>18020.93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>
        <v>0</v>
      </c>
      <c r="H307" s="18">
        <v>1474.27</v>
      </c>
      <c r="I307" s="18">
        <v>1341.39</v>
      </c>
      <c r="J307" s="18">
        <v>17246.419999999998</v>
      </c>
      <c r="K307" s="18"/>
      <c r="L307" s="19">
        <f>SUM(F307:K307)</f>
        <v>20062.079999999998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160408.82</v>
      </c>
      <c r="G309" s="42">
        <f t="shared" si="15"/>
        <v>70900.11</v>
      </c>
      <c r="H309" s="42">
        <f t="shared" si="15"/>
        <v>28130.91</v>
      </c>
      <c r="I309" s="42">
        <f t="shared" si="15"/>
        <v>1902.98</v>
      </c>
      <c r="J309" s="42">
        <f t="shared" si="15"/>
        <v>35267.35</v>
      </c>
      <c r="K309" s="42">
        <f t="shared" si="15"/>
        <v>0</v>
      </c>
      <c r="L309" s="41">
        <f t="shared" si="15"/>
        <v>296610.17000000004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2665.09+300</f>
        <v>2965.09</v>
      </c>
      <c r="G314" s="18">
        <f>231.12+69.97</f>
        <v>301.09000000000003</v>
      </c>
      <c r="H314" s="18">
        <v>4979.6000000000004</v>
      </c>
      <c r="I314" s="18"/>
      <c r="J314" s="18">
        <v>2929.19</v>
      </c>
      <c r="K314" s="18"/>
      <c r="L314" s="19">
        <f>SUM(F314:K314)</f>
        <v>11174.970000000001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968.55+121998</f>
        <v>122966.55</v>
      </c>
      <c r="G315" s="18">
        <f>198.16+65179.89</f>
        <v>65378.05</v>
      </c>
      <c r="H315" s="18">
        <v>2709.8799999999997</v>
      </c>
      <c r="I315" s="18">
        <v>1067.29</v>
      </c>
      <c r="J315" s="18"/>
      <c r="K315" s="18"/>
      <c r="L315" s="19">
        <f>SUM(F315:K315)</f>
        <v>192121.77000000002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6670.28</v>
      </c>
      <c r="G317" s="18">
        <v>879.49</v>
      </c>
      <c r="H317" s="18">
        <v>0</v>
      </c>
      <c r="I317" s="18">
        <f>-471.48+626.5</f>
        <v>155.01999999999998</v>
      </c>
      <c r="J317" s="18">
        <v>800</v>
      </c>
      <c r="K317" s="18"/>
      <c r="L317" s="19">
        <f>SUM(F317:K317)</f>
        <v>8504.7899999999991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352.83</v>
      </c>
      <c r="G320" s="18">
        <v>25.55</v>
      </c>
      <c r="H320" s="18">
        <v>16309.72</v>
      </c>
      <c r="I320" s="18"/>
      <c r="J320" s="18"/>
      <c r="K320" s="18"/>
      <c r="L320" s="19">
        <f t="shared" si="16"/>
        <v>16688.099999999999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4281.4000000000005</v>
      </c>
      <c r="I324" s="18"/>
      <c r="J324" s="18"/>
      <c r="K324" s="18"/>
      <c r="L324" s="19">
        <f t="shared" si="16"/>
        <v>4281.4000000000005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>
        <v>19118.8</v>
      </c>
      <c r="K325" s="18"/>
      <c r="L325" s="19">
        <f t="shared" si="16"/>
        <v>19118.8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v>1564.09</v>
      </c>
      <c r="I326" s="18">
        <f>1359.45+137.49</f>
        <v>1496.94</v>
      </c>
      <c r="J326" s="18">
        <f>6497.72+18297.09</f>
        <v>24794.81</v>
      </c>
      <c r="K326" s="18"/>
      <c r="L326" s="19">
        <f>SUM(F326:K326)</f>
        <v>27855.84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132954.75</v>
      </c>
      <c r="G328" s="42">
        <f t="shared" si="17"/>
        <v>66584.180000000008</v>
      </c>
      <c r="H328" s="42">
        <f t="shared" si="17"/>
        <v>29844.69</v>
      </c>
      <c r="I328" s="42">
        <f t="shared" si="17"/>
        <v>2719.25</v>
      </c>
      <c r="J328" s="42">
        <f t="shared" si="17"/>
        <v>47642.8</v>
      </c>
      <c r="K328" s="42">
        <f t="shared" si="17"/>
        <v>0</v>
      </c>
      <c r="L328" s="41">
        <f t="shared" si="17"/>
        <v>279745.67000000004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393207.29000000004</v>
      </c>
      <c r="G338" s="41">
        <f t="shared" si="20"/>
        <v>170425</v>
      </c>
      <c r="H338" s="41">
        <f t="shared" si="20"/>
        <v>101061.71</v>
      </c>
      <c r="I338" s="41">
        <f t="shared" si="20"/>
        <v>7173.7800000000007</v>
      </c>
      <c r="J338" s="41">
        <f t="shared" si="20"/>
        <v>117863.08</v>
      </c>
      <c r="K338" s="41">
        <f t="shared" si="20"/>
        <v>0</v>
      </c>
      <c r="L338" s="41">
        <f t="shared" si="20"/>
        <v>789730.8600000001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393207.29000000004</v>
      </c>
      <c r="G352" s="41">
        <f>G338</f>
        <v>170425</v>
      </c>
      <c r="H352" s="41">
        <f>H338</f>
        <v>101061.71</v>
      </c>
      <c r="I352" s="41">
        <f>I338</f>
        <v>7173.7800000000007</v>
      </c>
      <c r="J352" s="41">
        <f>J338</f>
        <v>117863.08</v>
      </c>
      <c r="K352" s="47">
        <f>K338+K351</f>
        <v>0</v>
      </c>
      <c r="L352" s="41">
        <f>L338+L351</f>
        <v>789730.8600000001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107922.16</v>
      </c>
      <c r="G358" s="18">
        <v>20993.24</v>
      </c>
      <c r="H358" s="18">
        <v>5794.98</v>
      </c>
      <c r="I358" s="18">
        <v>72357.919999999998</v>
      </c>
      <c r="J358" s="18">
        <v>11398.1</v>
      </c>
      <c r="K358" s="18">
        <v>328.69</v>
      </c>
      <c r="L358" s="13">
        <f>SUM(F358:K358)</f>
        <v>218795.09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108892.98</v>
      </c>
      <c r="G359" s="18">
        <v>21182.09</v>
      </c>
      <c r="H359" s="18">
        <v>4978.68</v>
      </c>
      <c r="I359" s="18">
        <v>99230.290000000008</v>
      </c>
      <c r="J359" s="18">
        <v>11500.63</v>
      </c>
      <c r="K359" s="18">
        <v>177.59</v>
      </c>
      <c r="L359" s="19">
        <f>SUM(F359:K359)</f>
        <v>245962.26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115526.87</v>
      </c>
      <c r="G360" s="18">
        <v>22472.53</v>
      </c>
      <c r="H360" s="18">
        <v>4521.1100000000006</v>
      </c>
      <c r="I360" s="18">
        <v>103008.51</v>
      </c>
      <c r="J360" s="18">
        <v>12201.27</v>
      </c>
      <c r="K360" s="18">
        <v>146.22</v>
      </c>
      <c r="L360" s="19">
        <f>SUM(F360:K360)</f>
        <v>257876.51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332342.01</v>
      </c>
      <c r="G362" s="47">
        <f t="shared" si="22"/>
        <v>64647.86</v>
      </c>
      <c r="H362" s="47">
        <f t="shared" si="22"/>
        <v>15294.77</v>
      </c>
      <c r="I362" s="47">
        <f t="shared" si="22"/>
        <v>274596.72000000003</v>
      </c>
      <c r="J362" s="47">
        <f t="shared" si="22"/>
        <v>35100</v>
      </c>
      <c r="K362" s="47">
        <f t="shared" si="22"/>
        <v>652.5</v>
      </c>
      <c r="L362" s="47">
        <f t="shared" si="22"/>
        <v>722633.86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67604.900000000009</v>
      </c>
      <c r="G367" s="18">
        <v>93721.11</v>
      </c>
      <c r="H367" s="18">
        <v>95929.989999999991</v>
      </c>
      <c r="I367" s="56">
        <f>SUM(F367:H367)</f>
        <v>257256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4753.0200000000004</v>
      </c>
      <c r="G368" s="63">
        <v>5509.18</v>
      </c>
      <c r="H368" s="63">
        <v>7078.52</v>
      </c>
      <c r="I368" s="56">
        <f>SUM(F368:H368)</f>
        <v>17340.72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72357.920000000013</v>
      </c>
      <c r="G369" s="47">
        <f>SUM(G367:G368)</f>
        <v>99230.290000000008</v>
      </c>
      <c r="H369" s="47">
        <f>SUM(H367:H368)</f>
        <v>103008.51</v>
      </c>
      <c r="I369" s="47">
        <f>SUM(I367:I368)</f>
        <v>274596.71999999997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1628143</v>
      </c>
      <c r="I375" s="18"/>
      <c r="J375" s="18"/>
      <c r="K375" s="18"/>
      <c r="L375" s="13">
        <f t="shared" ref="L375:L381" si="23">SUM(F375:K375)</f>
        <v>1628143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1628143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1628143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>
        <f>556.62+166.58</f>
        <v>723.2</v>
      </c>
      <c r="J389" s="24" t="s">
        <v>289</v>
      </c>
      <c r="K389" s="24" t="s">
        <v>289</v>
      </c>
      <c r="L389" s="56">
        <f t="shared" si="25"/>
        <v>723.2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190.71</v>
      </c>
      <c r="I391" s="18">
        <f>2838.88+0.02</f>
        <v>2838.9</v>
      </c>
      <c r="J391" s="24" t="s">
        <v>289</v>
      </c>
      <c r="K391" s="24" t="s">
        <v>289</v>
      </c>
      <c r="L391" s="56">
        <f t="shared" si="25"/>
        <v>3029.61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190.71</v>
      </c>
      <c r="I393" s="65">
        <f>SUM(I387:I392)</f>
        <v>3562.1000000000004</v>
      </c>
      <c r="J393" s="45" t="s">
        <v>289</v>
      </c>
      <c r="K393" s="45" t="s">
        <v>289</v>
      </c>
      <c r="L393" s="47">
        <f>SUM(L387:L392)</f>
        <v>3752.8100000000004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>
        <v>65.66</v>
      </c>
      <c r="J396" s="24" t="s">
        <v>289</v>
      </c>
      <c r="K396" s="24" t="s">
        <v>289</v>
      </c>
      <c r="L396" s="56">
        <f t="shared" si="26"/>
        <v>65.66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>
        <v>5689.7</v>
      </c>
      <c r="J397" s="24" t="s">
        <v>289</v>
      </c>
      <c r="K397" s="24" t="s">
        <v>289</v>
      </c>
      <c r="L397" s="56">
        <f t="shared" si="26"/>
        <v>5689.7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200000</v>
      </c>
      <c r="H400" s="18"/>
      <c r="I400" s="18">
        <f>2004.54+383.95+1725.34+5471</f>
        <v>9584.83</v>
      </c>
      <c r="J400" s="24" t="s">
        <v>289</v>
      </c>
      <c r="K400" s="24" t="s">
        <v>289</v>
      </c>
      <c r="L400" s="56">
        <f t="shared" si="26"/>
        <v>209584.83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200000</v>
      </c>
      <c r="H401" s="47">
        <f>SUM(H395:H400)</f>
        <v>0</v>
      </c>
      <c r="I401" s="47">
        <f>SUM(I395:I400)</f>
        <v>15340.189999999999</v>
      </c>
      <c r="J401" s="45" t="s">
        <v>289</v>
      </c>
      <c r="K401" s="45" t="s">
        <v>289</v>
      </c>
      <c r="L401" s="47">
        <f>SUM(L395:L400)</f>
        <v>215340.18999999997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190.71</v>
      </c>
      <c r="I408" s="47">
        <f>I393+I401+I407</f>
        <v>18902.29</v>
      </c>
      <c r="J408" s="24" t="s">
        <v>289</v>
      </c>
      <c r="K408" s="24" t="s">
        <v>289</v>
      </c>
      <c r="L408" s="47">
        <f>L393+L401+L407</f>
        <v>219092.99999999997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11250</v>
      </c>
      <c r="I426" s="18"/>
      <c r="J426" s="18"/>
      <c r="K426" s="18"/>
      <c r="L426" s="56">
        <f t="shared" si="29"/>
        <v>11250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11250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11250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11250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11250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12916.51+42168.21</f>
        <v>55084.72</v>
      </c>
      <c r="G440" s="18">
        <v>1104981.71</v>
      </c>
      <c r="H440" s="18"/>
      <c r="I440" s="56">
        <f t="shared" si="33"/>
        <v>1160066.43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55084.72</v>
      </c>
      <c r="G446" s="13">
        <f>SUM(G439:G445)</f>
        <v>1104981.71</v>
      </c>
      <c r="H446" s="13">
        <f>SUM(H439:H445)</f>
        <v>0</v>
      </c>
      <c r="I446" s="13">
        <f>SUM(I439:I445)</f>
        <v>1160066.43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576</v>
      </c>
      <c r="H448" s="18"/>
      <c r="I448" s="56">
        <f>SUM(F448:H448)</f>
        <v>576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576</v>
      </c>
      <c r="H452" s="72">
        <f>SUM(H448:H451)</f>
        <v>0</v>
      </c>
      <c r="I452" s="72">
        <f>SUM(I448:I451)</f>
        <v>576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55084.72</v>
      </c>
      <c r="G456" s="18">
        <f>1104981.71-576</f>
        <v>1104405.71</v>
      </c>
      <c r="H456" s="18"/>
      <c r="I456" s="56">
        <f t="shared" si="34"/>
        <v>1159490.43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55084.72</v>
      </c>
      <c r="G460" s="83">
        <f>SUM(G454:G459)</f>
        <v>1104405.71</v>
      </c>
      <c r="H460" s="83">
        <f>SUM(H454:H459)</f>
        <v>0</v>
      </c>
      <c r="I460" s="83">
        <f>SUM(I454:I459)</f>
        <v>1159490.43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55084.72</v>
      </c>
      <c r="G461" s="42">
        <f>G452+G460</f>
        <v>1104981.71</v>
      </c>
      <c r="H461" s="42">
        <f>H452+H460</f>
        <v>0</v>
      </c>
      <c r="I461" s="42">
        <f>I452+I460</f>
        <v>1160066.43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1660002.2599999979</v>
      </c>
      <c r="G465" s="18">
        <v>20.39000000001397</v>
      </c>
      <c r="H465" s="18">
        <v>35148.569999999949</v>
      </c>
      <c r="I465" s="18">
        <v>0</v>
      </c>
      <c r="J465" s="18">
        <v>951647.43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38992715.220000006</v>
      </c>
      <c r="G468" s="18">
        <v>722633.86</v>
      </c>
      <c r="H468" s="18">
        <v>803448.09000000008</v>
      </c>
      <c r="I468" s="18">
        <v>1500305.48</v>
      </c>
      <c r="J468" s="18">
        <v>219093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38992715.220000006</v>
      </c>
      <c r="G470" s="53">
        <f>SUM(G468:G469)</f>
        <v>722633.86</v>
      </c>
      <c r="H470" s="53">
        <f>SUM(H468:H469)</f>
        <v>803448.09000000008</v>
      </c>
      <c r="I470" s="53">
        <f>SUM(I468:I469)</f>
        <v>1500305.48</v>
      </c>
      <c r="J470" s="53">
        <f>SUM(J468:J469)</f>
        <v>219093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38461978.330000006</v>
      </c>
      <c r="G472" s="18">
        <v>722633.86</v>
      </c>
      <c r="H472" s="18">
        <v>789730.8600000001</v>
      </c>
      <c r="I472" s="18">
        <v>1628143</v>
      </c>
      <c r="J472" s="18">
        <v>11250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38461978.330000006</v>
      </c>
      <c r="G474" s="53">
        <f>SUM(G472:G473)</f>
        <v>722633.86</v>
      </c>
      <c r="H474" s="53">
        <f>SUM(H472:H473)</f>
        <v>789730.8600000001</v>
      </c>
      <c r="I474" s="53">
        <f>SUM(I472:I473)</f>
        <v>1628143</v>
      </c>
      <c r="J474" s="53">
        <f>SUM(J472:J473)</f>
        <v>11250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2190739.1499999985</v>
      </c>
      <c r="G476" s="53">
        <f>(G465+G470)- G474</f>
        <v>20.39000000001397</v>
      </c>
      <c r="H476" s="53">
        <f>(H465+H470)- H474</f>
        <v>48865.79999999993</v>
      </c>
      <c r="I476" s="53">
        <f>(I465+I470)- I474</f>
        <v>-127837.52000000002</v>
      </c>
      <c r="J476" s="53">
        <f>(J465+J470)- J474</f>
        <v>1159490.4300000002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>
        <v>20</v>
      </c>
      <c r="J490" s="154">
        <v>20</v>
      </c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916</v>
      </c>
      <c r="G491" s="155"/>
      <c r="H491" s="154"/>
      <c r="I491" s="154" t="s">
        <v>912</v>
      </c>
      <c r="J491" s="154" t="s">
        <v>913</v>
      </c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/>
      <c r="H492" s="154"/>
      <c r="I492" s="154" t="s">
        <v>914</v>
      </c>
      <c r="J492" s="154" t="s">
        <v>915</v>
      </c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1500000</v>
      </c>
      <c r="G493" s="18"/>
      <c r="H493" s="18"/>
      <c r="I493" s="18">
        <v>2300000</v>
      </c>
      <c r="J493" s="18">
        <v>20406711</v>
      </c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1.88</v>
      </c>
      <c r="G494" s="18"/>
      <c r="H494" s="18"/>
      <c r="I494" s="18">
        <v>4.22</v>
      </c>
      <c r="J494" s="18">
        <v>4.09</v>
      </c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>
        <v>805000</v>
      </c>
      <c r="J495" s="18">
        <v>8160000</v>
      </c>
      <c r="K495" s="53">
        <f>SUM(F495:J495)</f>
        <v>8965000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1500000</v>
      </c>
      <c r="G496" s="18"/>
      <c r="H496" s="18"/>
      <c r="I496" s="18"/>
      <c r="J496" s="18"/>
      <c r="K496" s="53">
        <f t="shared" ref="K496:K503" si="35">SUM(F496:J496)</f>
        <v>1500000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>
        <v>115000</v>
      </c>
      <c r="J497" s="18">
        <v>1020000</v>
      </c>
      <c r="K497" s="53">
        <f t="shared" si="35"/>
        <v>1135000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1500000</v>
      </c>
      <c r="G498" s="204"/>
      <c r="H498" s="204"/>
      <c r="I498" s="204">
        <v>690000</v>
      </c>
      <c r="J498" s="204">
        <v>7140000</v>
      </c>
      <c r="K498" s="205">
        <f t="shared" si="35"/>
        <v>9330000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153593.43</v>
      </c>
      <c r="G499" s="18"/>
      <c r="H499" s="18"/>
      <c r="I499" s="18">
        <v>95651.25</v>
      </c>
      <c r="J499" s="18">
        <v>1127610</v>
      </c>
      <c r="K499" s="53">
        <f t="shared" si="35"/>
        <v>1376854.68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1653593.43</v>
      </c>
      <c r="G500" s="42">
        <f>SUM(G498:G499)</f>
        <v>0</v>
      </c>
      <c r="H500" s="42">
        <f>SUM(H498:H499)</f>
        <v>0</v>
      </c>
      <c r="I500" s="42">
        <f>SUM(I498:I499)</f>
        <v>785651.25</v>
      </c>
      <c r="J500" s="42">
        <f>SUM(J498:J499)</f>
        <v>8267610</v>
      </c>
      <c r="K500" s="42">
        <f t="shared" si="35"/>
        <v>10706854.68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>
        <v>115000</v>
      </c>
      <c r="J501" s="204">
        <v>1020000</v>
      </c>
      <c r="K501" s="205">
        <f t="shared" si="35"/>
        <v>1135000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>
        <v>28951.25</v>
      </c>
      <c r="J502" s="18">
        <v>292740</v>
      </c>
      <c r="K502" s="53">
        <f t="shared" si="35"/>
        <v>321691.25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143951.25</v>
      </c>
      <c r="J503" s="42">
        <f>SUM(J501:J502)</f>
        <v>1312740</v>
      </c>
      <c r="K503" s="42">
        <f t="shared" si="35"/>
        <v>1456691.25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974378.77</v>
      </c>
      <c r="G521" s="18">
        <v>368103.79999999993</v>
      </c>
      <c r="H521" s="18">
        <v>572118.09</v>
      </c>
      <c r="I521" s="18">
        <v>9137.52</v>
      </c>
      <c r="J521" s="18">
        <v>215</v>
      </c>
      <c r="K521" s="18">
        <v>4347.01</v>
      </c>
      <c r="L521" s="88">
        <f>SUM(F521:K521)</f>
        <v>1928300.1899999997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1301574.23</v>
      </c>
      <c r="G522" s="18">
        <v>529501.45000000007</v>
      </c>
      <c r="H522" s="18">
        <v>226005.2</v>
      </c>
      <c r="I522" s="18">
        <v>9979.2000000000007</v>
      </c>
      <c r="J522" s="18">
        <v>0</v>
      </c>
      <c r="K522" s="18">
        <v>4386.12</v>
      </c>
      <c r="L522" s="88">
        <f>SUM(F522:K522)</f>
        <v>2071446.2000000002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1555066.3099999998</v>
      </c>
      <c r="G523" s="18">
        <v>579707.98</v>
      </c>
      <c r="H523" s="18">
        <v>158508.62</v>
      </c>
      <c r="I523" s="18">
        <v>10436.52</v>
      </c>
      <c r="J523" s="18">
        <v>239.85</v>
      </c>
      <c r="K523" s="18">
        <v>4653.32</v>
      </c>
      <c r="L523" s="88">
        <f>SUM(F523:K523)</f>
        <v>2308612.6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3831019.3099999996</v>
      </c>
      <c r="G524" s="108">
        <f t="shared" ref="G524:L524" si="36">SUM(G521:G523)</f>
        <v>1477313.23</v>
      </c>
      <c r="H524" s="108">
        <f t="shared" si="36"/>
        <v>956631.91</v>
      </c>
      <c r="I524" s="108">
        <f t="shared" si="36"/>
        <v>29553.24</v>
      </c>
      <c r="J524" s="108">
        <f t="shared" si="36"/>
        <v>454.85</v>
      </c>
      <c r="K524" s="108">
        <f t="shared" si="36"/>
        <v>13386.45</v>
      </c>
      <c r="L524" s="89">
        <f t="shared" si="36"/>
        <v>6308358.9900000002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425745.27</v>
      </c>
      <c r="G526" s="18">
        <v>160182.79000000004</v>
      </c>
      <c r="H526" s="18">
        <v>172839.43</v>
      </c>
      <c r="I526" s="18">
        <v>4852.3</v>
      </c>
      <c r="J526" s="18">
        <v>2560.11</v>
      </c>
      <c r="K526" s="18"/>
      <c r="L526" s="88">
        <f>SUM(F526:K526)</f>
        <v>766179.9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176414.5</v>
      </c>
      <c r="G527" s="18">
        <v>84485.23000000001</v>
      </c>
      <c r="H527" s="18">
        <v>178736.03</v>
      </c>
      <c r="I527" s="18">
        <v>3595.08</v>
      </c>
      <c r="J527" s="18">
        <v>614.95000000000005</v>
      </c>
      <c r="K527" s="18"/>
      <c r="L527" s="88">
        <f>SUM(F527:K527)</f>
        <v>443845.79000000004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232982.09</v>
      </c>
      <c r="G528" s="18">
        <v>85161.58</v>
      </c>
      <c r="H528" s="18">
        <v>185697.42</v>
      </c>
      <c r="I528" s="18">
        <v>1744.08</v>
      </c>
      <c r="J528" s="18">
        <v>1000</v>
      </c>
      <c r="K528" s="18"/>
      <c r="L528" s="88">
        <f>SUM(F528:K528)</f>
        <v>506585.17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835141.86</v>
      </c>
      <c r="G529" s="89">
        <f t="shared" ref="G529:L529" si="37">SUM(G526:G528)</f>
        <v>329829.60000000003</v>
      </c>
      <c r="H529" s="89">
        <f t="shared" si="37"/>
        <v>537272.88</v>
      </c>
      <c r="I529" s="89">
        <f t="shared" si="37"/>
        <v>10191.460000000001</v>
      </c>
      <c r="J529" s="89">
        <f t="shared" si="37"/>
        <v>4175.0600000000004</v>
      </c>
      <c r="K529" s="89">
        <f t="shared" si="37"/>
        <v>0</v>
      </c>
      <c r="L529" s="89">
        <f t="shared" si="37"/>
        <v>1716610.8599999999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75259.759999999995</v>
      </c>
      <c r="G531" s="18">
        <v>39104.9</v>
      </c>
      <c r="H531" s="18">
        <v>3899.47</v>
      </c>
      <c r="I531" s="18">
        <v>739.57</v>
      </c>
      <c r="J531" s="18">
        <v>0</v>
      </c>
      <c r="K531" s="18">
        <v>802.09</v>
      </c>
      <c r="L531" s="88">
        <f>SUM(F531:K531)</f>
        <v>119805.79000000001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124818.45999999999</v>
      </c>
      <c r="G532" s="18">
        <v>64377.909999999996</v>
      </c>
      <c r="H532" s="18">
        <v>3934.55</v>
      </c>
      <c r="I532" s="18">
        <v>746.23</v>
      </c>
      <c r="J532" s="18">
        <v>0</v>
      </c>
      <c r="K532" s="18">
        <v>809.3</v>
      </c>
      <c r="L532" s="88">
        <f>SUM(F532:K532)</f>
        <v>194686.44999999998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93012.79</v>
      </c>
      <c r="G533" s="18">
        <v>46215</v>
      </c>
      <c r="H533" s="18">
        <v>4174.25</v>
      </c>
      <c r="I533" s="18">
        <v>791.69</v>
      </c>
      <c r="J533" s="18">
        <v>0</v>
      </c>
      <c r="K533" s="18">
        <v>858.61</v>
      </c>
      <c r="L533" s="88">
        <f>SUM(F533:K533)</f>
        <v>145052.33999999997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293091.00999999995</v>
      </c>
      <c r="G534" s="89">
        <f t="shared" ref="G534:L534" si="38">SUM(G531:G533)</f>
        <v>149697.81</v>
      </c>
      <c r="H534" s="89">
        <f t="shared" si="38"/>
        <v>12008.27</v>
      </c>
      <c r="I534" s="89">
        <f t="shared" si="38"/>
        <v>2277.4900000000002</v>
      </c>
      <c r="J534" s="89">
        <f t="shared" si="38"/>
        <v>0</v>
      </c>
      <c r="K534" s="89">
        <f t="shared" si="38"/>
        <v>2470</v>
      </c>
      <c r="L534" s="89">
        <f t="shared" si="38"/>
        <v>459544.57999999996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3625.18</v>
      </c>
      <c r="I536" s="18"/>
      <c r="J536" s="18"/>
      <c r="K536" s="18"/>
      <c r="L536" s="88">
        <f>SUM(F536:K536)</f>
        <v>3625.18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3657.79</v>
      </c>
      <c r="I537" s="18"/>
      <c r="J537" s="18"/>
      <c r="K537" s="18"/>
      <c r="L537" s="88">
        <f>SUM(F537:K537)</f>
        <v>3657.79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3880.6400000000003</v>
      </c>
      <c r="I538" s="18"/>
      <c r="J538" s="18"/>
      <c r="K538" s="18"/>
      <c r="L538" s="88">
        <f>SUM(F538:K538)</f>
        <v>3880.6400000000003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11163.61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11163.61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45390.25</v>
      </c>
      <c r="G541" s="18">
        <v>21249.71</v>
      </c>
      <c r="H541" s="18">
        <v>3770.85</v>
      </c>
      <c r="I541" s="18">
        <v>8514.2000000000007</v>
      </c>
      <c r="J541" s="18"/>
      <c r="K541" s="18"/>
      <c r="L541" s="88">
        <f>SUM(F541:K541)</f>
        <v>78925.009999999995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45798.559999999998</v>
      </c>
      <c r="G542" s="18">
        <v>21440.86</v>
      </c>
      <c r="H542" s="18">
        <v>3804.77</v>
      </c>
      <c r="I542" s="18">
        <v>8590.7900000000009</v>
      </c>
      <c r="J542" s="18"/>
      <c r="K542" s="18"/>
      <c r="L542" s="88">
        <f>SUM(F542:K542)</f>
        <v>79634.98000000001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48588.66</v>
      </c>
      <c r="G543" s="18">
        <v>22747.07</v>
      </c>
      <c r="H543" s="18">
        <v>4036.5499999999997</v>
      </c>
      <c r="I543" s="18">
        <v>9114.14</v>
      </c>
      <c r="J543" s="18"/>
      <c r="K543" s="18"/>
      <c r="L543" s="88">
        <f>SUM(F543:K543)</f>
        <v>84486.420000000013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139777.47</v>
      </c>
      <c r="G544" s="193">
        <f t="shared" ref="G544:L544" si="40">SUM(G541:G543)</f>
        <v>65437.64</v>
      </c>
      <c r="H544" s="193">
        <f t="shared" si="40"/>
        <v>11612.17</v>
      </c>
      <c r="I544" s="193">
        <f t="shared" si="40"/>
        <v>26219.13</v>
      </c>
      <c r="J544" s="193">
        <f t="shared" si="40"/>
        <v>0</v>
      </c>
      <c r="K544" s="193">
        <f t="shared" si="40"/>
        <v>0</v>
      </c>
      <c r="L544" s="193">
        <f t="shared" si="40"/>
        <v>243046.41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5099029.6499999994</v>
      </c>
      <c r="G545" s="89">
        <f t="shared" ref="G545:L545" si="41">G524+G529+G534+G539+G544</f>
        <v>2022278.28</v>
      </c>
      <c r="H545" s="89">
        <f t="shared" si="41"/>
        <v>1528688.84</v>
      </c>
      <c r="I545" s="89">
        <f t="shared" si="41"/>
        <v>68241.320000000007</v>
      </c>
      <c r="J545" s="89">
        <f t="shared" si="41"/>
        <v>4629.9100000000008</v>
      </c>
      <c r="K545" s="89">
        <f t="shared" si="41"/>
        <v>15856.45</v>
      </c>
      <c r="L545" s="89">
        <f t="shared" si="41"/>
        <v>8738724.4499999993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1928300.1899999997</v>
      </c>
      <c r="G549" s="87">
        <f>L526</f>
        <v>766179.9</v>
      </c>
      <c r="H549" s="87">
        <f>L531</f>
        <v>119805.79000000001</v>
      </c>
      <c r="I549" s="87">
        <f>L536</f>
        <v>3625.18</v>
      </c>
      <c r="J549" s="87">
        <f>L541</f>
        <v>78925.009999999995</v>
      </c>
      <c r="K549" s="87">
        <f>SUM(F549:J549)</f>
        <v>2896836.07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2071446.2000000002</v>
      </c>
      <c r="G550" s="87">
        <f>L527</f>
        <v>443845.79000000004</v>
      </c>
      <c r="H550" s="87">
        <f>L532</f>
        <v>194686.44999999998</v>
      </c>
      <c r="I550" s="87">
        <f>L537</f>
        <v>3657.79</v>
      </c>
      <c r="J550" s="87">
        <f>L542</f>
        <v>79634.98000000001</v>
      </c>
      <c r="K550" s="87">
        <f>SUM(F550:J550)</f>
        <v>2793271.2100000004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2308612.6</v>
      </c>
      <c r="G551" s="87">
        <f>L528</f>
        <v>506585.17</v>
      </c>
      <c r="H551" s="87">
        <f>L533</f>
        <v>145052.33999999997</v>
      </c>
      <c r="I551" s="87">
        <f>L538</f>
        <v>3880.6400000000003</v>
      </c>
      <c r="J551" s="87">
        <f>L543</f>
        <v>84486.420000000013</v>
      </c>
      <c r="K551" s="87">
        <f>SUM(F551:J551)</f>
        <v>3048617.17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6308358.9900000002</v>
      </c>
      <c r="G552" s="89">
        <f t="shared" si="42"/>
        <v>1716610.8599999999</v>
      </c>
      <c r="H552" s="89">
        <f t="shared" si="42"/>
        <v>459544.57999999996</v>
      </c>
      <c r="I552" s="89">
        <f t="shared" si="42"/>
        <v>11163.61</v>
      </c>
      <c r="J552" s="89">
        <f t="shared" si="42"/>
        <v>243046.41</v>
      </c>
      <c r="K552" s="89">
        <f t="shared" si="42"/>
        <v>8738724.4499999993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84917.8</v>
      </c>
      <c r="G562" s="18">
        <v>19095.28</v>
      </c>
      <c r="H562" s="18"/>
      <c r="I562" s="18">
        <v>266.64</v>
      </c>
      <c r="J562" s="18"/>
      <c r="K562" s="18"/>
      <c r="L562" s="88">
        <f>SUM(F562:K562)</f>
        <v>104279.72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>
        <v>18929.2</v>
      </c>
      <c r="I563" s="18">
        <v>79.64</v>
      </c>
      <c r="J563" s="18"/>
      <c r="K563" s="18"/>
      <c r="L563" s="88">
        <f>SUM(F563:K563)</f>
        <v>19008.84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>
        <v>18929.2</v>
      </c>
      <c r="I564" s="18">
        <v>79.650000000000006</v>
      </c>
      <c r="J564" s="18"/>
      <c r="K564" s="18"/>
      <c r="L564" s="88">
        <f>SUM(F564:K564)</f>
        <v>19008.850000000002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84917.8</v>
      </c>
      <c r="G565" s="89">
        <f t="shared" si="44"/>
        <v>19095.28</v>
      </c>
      <c r="H565" s="89">
        <f t="shared" si="44"/>
        <v>37858.400000000001</v>
      </c>
      <c r="I565" s="89">
        <f t="shared" si="44"/>
        <v>425.92999999999995</v>
      </c>
      <c r="J565" s="89">
        <f t="shared" si="44"/>
        <v>0</v>
      </c>
      <c r="K565" s="89">
        <f t="shared" si="44"/>
        <v>0</v>
      </c>
      <c r="L565" s="89">
        <f t="shared" si="44"/>
        <v>142297.41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84917.8</v>
      </c>
      <c r="G571" s="89">
        <f t="shared" ref="G571:L571" si="46">G560+G565+G570</f>
        <v>19095.28</v>
      </c>
      <c r="H571" s="89">
        <f t="shared" si="46"/>
        <v>37858.400000000001</v>
      </c>
      <c r="I571" s="89">
        <f t="shared" si="46"/>
        <v>425.92999999999995</v>
      </c>
      <c r="J571" s="89">
        <f t="shared" si="46"/>
        <v>0</v>
      </c>
      <c r="K571" s="89">
        <f t="shared" si="46"/>
        <v>0</v>
      </c>
      <c r="L571" s="89">
        <f t="shared" si="46"/>
        <v>142297.41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350259.24</v>
      </c>
      <c r="G582" s="18">
        <v>145107.33000000002</v>
      </c>
      <c r="H582" s="18">
        <v>208919.07</v>
      </c>
      <c r="I582" s="87">
        <f t="shared" si="47"/>
        <v>704285.64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17277.14</v>
      </c>
      <c r="I584" s="87">
        <f t="shared" si="47"/>
        <v>17277.14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807284.62999999989</v>
      </c>
      <c r="I591" s="18">
        <v>413284.77</v>
      </c>
      <c r="J591" s="18">
        <v>412292.51</v>
      </c>
      <c r="K591" s="104">
        <f t="shared" ref="K591:K597" si="48">SUM(H591:J591)</f>
        <v>1632861.91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78925.009999999995</v>
      </c>
      <c r="I592" s="18">
        <v>79634.98000000001</v>
      </c>
      <c r="J592" s="18">
        <v>84486.420000000013</v>
      </c>
      <c r="K592" s="104">
        <f t="shared" si="48"/>
        <v>243046.41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27416.13</v>
      </c>
      <c r="K593" s="104">
        <f t="shared" si="48"/>
        <v>27416.13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17881.419999999998</v>
      </c>
      <c r="I594" s="18">
        <v>8940.7099999999991</v>
      </c>
      <c r="J594" s="18">
        <v>8940.7099999999991</v>
      </c>
      <c r="K594" s="104">
        <f t="shared" si="48"/>
        <v>35762.839999999997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2610.4300000000003</v>
      </c>
      <c r="I595" s="18">
        <v>4655.4800000000014</v>
      </c>
      <c r="J595" s="18">
        <v>535.59000000000015</v>
      </c>
      <c r="K595" s="104">
        <f t="shared" si="48"/>
        <v>7801.5000000000018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26405.360000000001</v>
      </c>
      <c r="I597" s="18">
        <v>13202.67</v>
      </c>
      <c r="J597" s="18">
        <v>13202.67</v>
      </c>
      <c r="K597" s="104">
        <f t="shared" si="48"/>
        <v>52810.7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933106.85</v>
      </c>
      <c r="I598" s="108">
        <f>SUM(I591:I597)</f>
        <v>519718.61</v>
      </c>
      <c r="J598" s="108">
        <f>SUM(J591:J597)</f>
        <v>546874.03</v>
      </c>
      <c r="K598" s="108">
        <f>SUM(K591:K597)</f>
        <v>1999699.4899999998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219109.98</v>
      </c>
      <c r="I604" s="18">
        <v>232569.52000000002</v>
      </c>
      <c r="J604" s="18">
        <v>290571.92000000004</v>
      </c>
      <c r="K604" s="104">
        <f>SUM(H604:J604)</f>
        <v>742251.42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219109.98</v>
      </c>
      <c r="I605" s="108">
        <f>SUM(I602:I604)</f>
        <v>232569.52000000002</v>
      </c>
      <c r="J605" s="108">
        <f>SUM(J602:J604)</f>
        <v>290571.92000000004</v>
      </c>
      <c r="K605" s="108">
        <f>SUM(K602:K604)</f>
        <v>742251.42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40264.590000000004</v>
      </c>
      <c r="G611" s="18">
        <v>5283.5700000000006</v>
      </c>
      <c r="H611" s="18">
        <v>15515.24</v>
      </c>
      <c r="I611" s="18">
        <v>55.37</v>
      </c>
      <c r="J611" s="18"/>
      <c r="K611" s="18"/>
      <c r="L611" s="88">
        <f>SUM(F611:K611)</f>
        <v>61118.770000000004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29877.62</v>
      </c>
      <c r="G612" s="18">
        <v>3724.4800000000005</v>
      </c>
      <c r="H612" s="18">
        <v>10056.75</v>
      </c>
      <c r="I612" s="18">
        <v>211.19</v>
      </c>
      <c r="J612" s="18"/>
      <c r="K612" s="18"/>
      <c r="L612" s="88">
        <f>SUM(F612:K612)</f>
        <v>43870.04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51055.63</v>
      </c>
      <c r="G613" s="18">
        <v>7680.5399999999991</v>
      </c>
      <c r="H613" s="18">
        <v>5450</v>
      </c>
      <c r="I613" s="18">
        <v>314.32</v>
      </c>
      <c r="J613" s="18"/>
      <c r="K613" s="18"/>
      <c r="L613" s="88">
        <f>SUM(F613:K613)</f>
        <v>64500.49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121197.84</v>
      </c>
      <c r="G614" s="108">
        <f t="shared" si="49"/>
        <v>16688.59</v>
      </c>
      <c r="H614" s="108">
        <f t="shared" si="49"/>
        <v>31021.989999999998</v>
      </c>
      <c r="I614" s="108">
        <f t="shared" si="49"/>
        <v>580.88</v>
      </c>
      <c r="J614" s="108">
        <f t="shared" si="49"/>
        <v>0</v>
      </c>
      <c r="K614" s="108">
        <f t="shared" si="49"/>
        <v>0</v>
      </c>
      <c r="L614" s="89">
        <f t="shared" si="49"/>
        <v>169489.3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3113742.06</v>
      </c>
      <c r="H617" s="109">
        <f>SUM(F52)</f>
        <v>3113742.06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30395.55</v>
      </c>
      <c r="H618" s="109">
        <f>SUM(G52)</f>
        <v>30395.550000000003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158688.73000000001</v>
      </c>
      <c r="H619" s="109">
        <f>SUM(H52)</f>
        <v>158688.73000000001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1500055.48</v>
      </c>
      <c r="H620" s="109">
        <f>SUM(I52)</f>
        <v>1500055.48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1160066.43</v>
      </c>
      <c r="H621" s="109">
        <f>SUM(J52)</f>
        <v>1160066.43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2190739.15</v>
      </c>
      <c r="H622" s="109">
        <f>F476</f>
        <v>2190739.1499999985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20.39</v>
      </c>
      <c r="H623" s="109">
        <f>G476</f>
        <v>20.39000000001397</v>
      </c>
      <c r="I623" s="121" t="s">
        <v>102</v>
      </c>
      <c r="J623" s="109">
        <f t="shared" si="50"/>
        <v>-1.396927018504357E-11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48865.8</v>
      </c>
      <c r="H624" s="109">
        <f>H476</f>
        <v>48865.79999999993</v>
      </c>
      <c r="I624" s="121" t="s">
        <v>103</v>
      </c>
      <c r="J624" s="109">
        <f t="shared" si="50"/>
        <v>7.2759576141834259E-11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-127837.52</v>
      </c>
      <c r="H625" s="109">
        <f>I476</f>
        <v>-127837.52000000002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1159490.43</v>
      </c>
      <c r="H626" s="109">
        <f>J476</f>
        <v>1159490.4300000002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38992715.220000006</v>
      </c>
      <c r="H627" s="104">
        <f>SUM(F468)</f>
        <v>38992715.220000006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722633.86</v>
      </c>
      <c r="H628" s="104">
        <f>SUM(G468)</f>
        <v>722633.86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803448.09000000008</v>
      </c>
      <c r="H629" s="104">
        <f>SUM(H468)</f>
        <v>803448.09000000008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1500305.48</v>
      </c>
      <c r="H630" s="104">
        <f>SUM(I468)</f>
        <v>1500305.48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219093</v>
      </c>
      <c r="H631" s="104">
        <f>SUM(J468)</f>
        <v>219093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38461978.330000006</v>
      </c>
      <c r="H632" s="104">
        <f>SUM(F472)</f>
        <v>38461978.330000006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789730.8600000001</v>
      </c>
      <c r="H633" s="104">
        <f>SUM(H472)</f>
        <v>789730.8600000001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274596.72000000003</v>
      </c>
      <c r="H634" s="104">
        <f>I369</f>
        <v>274596.71999999997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722633.86</v>
      </c>
      <c r="H635" s="104">
        <f>SUM(G472)</f>
        <v>722633.86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1628143</v>
      </c>
      <c r="H636" s="104">
        <f>SUM(I472)</f>
        <v>1628143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219092.99999999997</v>
      </c>
      <c r="H637" s="164">
        <f>SUM(J468)</f>
        <v>219093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11250</v>
      </c>
      <c r="H638" s="164">
        <f>SUM(J472)</f>
        <v>11250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55084.72</v>
      </c>
      <c r="H639" s="104">
        <f>SUM(F461)</f>
        <v>55084.72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1104981.71</v>
      </c>
      <c r="H640" s="104">
        <f>SUM(G461)</f>
        <v>1104981.71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1160066.43</v>
      </c>
      <c r="H642" s="104">
        <f>SUM(I461)</f>
        <v>1160066.43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190.71</v>
      </c>
      <c r="H644" s="104">
        <f>H408</f>
        <v>190.71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219093</v>
      </c>
      <c r="H646" s="104">
        <f>L408</f>
        <v>219092.99999999997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1999699.4899999998</v>
      </c>
      <c r="H647" s="104">
        <f>L208+L226+L244</f>
        <v>1999699.4899999998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742251.42</v>
      </c>
      <c r="H648" s="104">
        <f>(J257+J338)-(J255+J336)</f>
        <v>742251.41999999993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933106.84999999986</v>
      </c>
      <c r="H649" s="104">
        <f>H598</f>
        <v>933106.85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519718.61</v>
      </c>
      <c r="H650" s="104">
        <f>I598</f>
        <v>519718.61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546874.02999999991</v>
      </c>
      <c r="H651" s="104">
        <f>J598</f>
        <v>546874.03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66182.350000000006</v>
      </c>
      <c r="H652" s="104">
        <f>K263+K345</f>
        <v>66182.350000000006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12688588.53600779</v>
      </c>
      <c r="G660" s="19">
        <f>(L229+L309+L359)</f>
        <v>12182384.237740993</v>
      </c>
      <c r="H660" s="19">
        <f>(L247+L328+L360)</f>
        <v>13334751.676251214</v>
      </c>
      <c r="I660" s="19">
        <f>SUM(F660:H660)</f>
        <v>38205724.450000003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168530.18480777639</v>
      </c>
      <c r="G661" s="19">
        <f>(L359/IF(SUM(L358:L360)=0,1,SUM(L358:L360))*(SUM(G97:G110)))</f>
        <v>189456.10312159359</v>
      </c>
      <c r="H661" s="19">
        <f>(L360/IF(SUM(L358:L360)=0,1,SUM(L358:L360))*(SUM(G97:G110)))</f>
        <v>198633.23207063007</v>
      </c>
      <c r="I661" s="19">
        <f>SUM(F661:H661)</f>
        <v>556619.52000000002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793377.42499999993</v>
      </c>
      <c r="G662" s="19">
        <f>(L226+L306)-(J226+J306)</f>
        <v>449853.89750000008</v>
      </c>
      <c r="H662" s="19">
        <f>(L244+L325)-(J244+J325)</f>
        <v>477009.31749999995</v>
      </c>
      <c r="I662" s="19">
        <f>SUM(F662:H662)</f>
        <v>1720240.64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630487.99</v>
      </c>
      <c r="G663" s="199">
        <f>SUM(G575:G587)+SUM(I602:I604)+L612</f>
        <v>421546.89</v>
      </c>
      <c r="H663" s="199">
        <f>SUM(H575:H587)+SUM(J602:J604)+L613</f>
        <v>581268.62000000011</v>
      </c>
      <c r="I663" s="19">
        <f>SUM(F663:H663)</f>
        <v>1633303.5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11096192.936200013</v>
      </c>
      <c r="G664" s="19">
        <f>G660-SUM(G661:G663)</f>
        <v>11121527.3471194</v>
      </c>
      <c r="H664" s="19">
        <f>H660-SUM(H661:H663)</f>
        <v>12077840.506680584</v>
      </c>
      <c r="I664" s="19">
        <f>I660-SUM(I661:I663)</f>
        <v>34295560.790000007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617.85</v>
      </c>
      <c r="G665" s="248">
        <v>674.28</v>
      </c>
      <c r="H665" s="248">
        <v>709.32</v>
      </c>
      <c r="I665" s="19">
        <f>SUM(F665:H665)</f>
        <v>2001.4500000000003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17959.36</v>
      </c>
      <c r="G667" s="19">
        <f>ROUND(G664/G665,2)</f>
        <v>16493.93</v>
      </c>
      <c r="H667" s="19">
        <f>ROUND(H664/H665,2)</f>
        <v>17027.349999999999</v>
      </c>
      <c r="I667" s="19">
        <f>ROUND(I664/I665,2)</f>
        <v>17135.36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-5.38</v>
      </c>
      <c r="I670" s="19">
        <f>SUM(F670:H670)</f>
        <v>-5.38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17959.36</v>
      </c>
      <c r="G672" s="19">
        <f>ROUND((G664+G669)/(G665+G670),2)</f>
        <v>16493.93</v>
      </c>
      <c r="H672" s="19">
        <f>ROUND((H664+H669)/(H665+H670),2)</f>
        <v>17157.490000000002</v>
      </c>
      <c r="I672" s="19">
        <f>ROUND((I664+I669)/(I665+I670),2)</f>
        <v>17181.54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F40" sqref="F40"/>
    </sheetView>
  </sheetViews>
  <sheetFormatPr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Oyster River Coop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11021031.59</v>
      </c>
      <c r="C9" s="229">
        <f>'DOE25'!G197+'DOE25'!G215+'DOE25'!G233+'DOE25'!G276+'DOE25'!G295+'DOE25'!G314</f>
        <v>4591930.6899999995</v>
      </c>
    </row>
    <row r="10" spans="1:3" x14ac:dyDescent="0.2">
      <c r="A10" t="s">
        <v>779</v>
      </c>
      <c r="B10" s="240">
        <v>10024210.580000002</v>
      </c>
      <c r="C10" s="240">
        <v>4316954.9122013208</v>
      </c>
    </row>
    <row r="11" spans="1:3" x14ac:dyDescent="0.2">
      <c r="A11" t="s">
        <v>780</v>
      </c>
      <c r="B11" s="240">
        <v>221924.7</v>
      </c>
      <c r="C11" s="240">
        <v>61218.530090209788</v>
      </c>
    </row>
    <row r="12" spans="1:3" x14ac:dyDescent="0.2">
      <c r="A12" t="s">
        <v>781</v>
      </c>
      <c r="B12" s="240">
        <v>774896.31</v>
      </c>
      <c r="C12" s="240">
        <v>213757.24770846838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11021031.590000002</v>
      </c>
      <c r="C13" s="231">
        <f>SUM(C10:C12)</f>
        <v>4591930.6899999995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3835931.8299999996</v>
      </c>
      <c r="C18" s="229">
        <f>'DOE25'!G198+'DOE25'!G216+'DOE25'!G234+'DOE25'!G277+'DOE25'!G296+'DOE25'!G315</f>
        <v>1484266.1600000001</v>
      </c>
    </row>
    <row r="19" spans="1:3" x14ac:dyDescent="0.2">
      <c r="A19" t="s">
        <v>779</v>
      </c>
      <c r="B19" s="240">
        <v>2002124</v>
      </c>
      <c r="C19" s="240">
        <v>966371.73653692426</v>
      </c>
    </row>
    <row r="20" spans="1:3" x14ac:dyDescent="0.2">
      <c r="A20" t="s">
        <v>780</v>
      </c>
      <c r="B20" s="240">
        <v>1638685.0800000003</v>
      </c>
      <c r="C20" s="240">
        <v>462788.87616274599</v>
      </c>
    </row>
    <row r="21" spans="1:3" x14ac:dyDescent="0.2">
      <c r="A21" t="s">
        <v>781</v>
      </c>
      <c r="B21" s="240">
        <v>195122.75000000003</v>
      </c>
      <c r="C21" s="240">
        <v>55105.547300329636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3835931.83</v>
      </c>
      <c r="C22" s="231">
        <f>SUM(C19:C21)</f>
        <v>1484266.16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467386.72000000003</v>
      </c>
      <c r="C36" s="235">
        <f>'DOE25'!G200+'DOE25'!G218+'DOE25'!G236+'DOE25'!G279+'DOE25'!G298+'DOE25'!G317</f>
        <v>98200.48</v>
      </c>
    </row>
    <row r="37" spans="1:3" x14ac:dyDescent="0.2">
      <c r="A37" t="s">
        <v>779</v>
      </c>
      <c r="B37" s="240">
        <v>147035</v>
      </c>
      <c r="C37" s="240">
        <v>49428.308239830178</v>
      </c>
    </row>
    <row r="38" spans="1:3" x14ac:dyDescent="0.2">
      <c r="A38" t="s">
        <v>780</v>
      </c>
      <c r="B38" s="240">
        <v>37097.75</v>
      </c>
      <c r="C38" s="240">
        <v>5427.4709003071375</v>
      </c>
    </row>
    <row r="39" spans="1:3" x14ac:dyDescent="0.2">
      <c r="A39" t="s">
        <v>781</v>
      </c>
      <c r="B39" s="240">
        <v>283253.97000000003</v>
      </c>
      <c r="C39" s="240">
        <v>43344.700859862693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467386.72000000003</v>
      </c>
      <c r="C40" s="231">
        <f>SUM(C37:C39)</f>
        <v>98200.48000000001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opLeftCell="B1" workbookViewId="0">
      <pane ySplit="4" topLeftCell="A5" activePane="bottomLeft" state="frozen"/>
      <selection activeCell="F46" sqref="F46"/>
      <selection pane="bottomLeft" activeCell="D50" sqref="D50"/>
    </sheetView>
  </sheetViews>
  <sheetFormatPr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Oyster River Coop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22654294.449999999</v>
      </c>
      <c r="D5" s="20">
        <f>SUM('DOE25'!L197:L200)+SUM('DOE25'!L215:L218)+SUM('DOE25'!L233:L236)-F5-G5</f>
        <v>22533556.580000002</v>
      </c>
      <c r="E5" s="243"/>
      <c r="F5" s="255">
        <f>SUM('DOE25'!J197:J200)+SUM('DOE25'!J215:J218)+SUM('DOE25'!J233:J236)</f>
        <v>56955.63</v>
      </c>
      <c r="G5" s="53">
        <f>SUM('DOE25'!K197:K200)+SUM('DOE25'!K215:K218)+SUM('DOE25'!K233:K236)</f>
        <v>63782.240000000005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4451030.33</v>
      </c>
      <c r="D6" s="20">
        <f>'DOE25'!L202+'DOE25'!L220+'DOE25'!L238-F6-G6</f>
        <v>4281974.2700000005</v>
      </c>
      <c r="E6" s="243"/>
      <c r="F6" s="255">
        <f>'DOE25'!J202+'DOE25'!J220+'DOE25'!J238</f>
        <v>162541.06</v>
      </c>
      <c r="G6" s="53">
        <f>'DOE25'!K202+'DOE25'!K220+'DOE25'!K238</f>
        <v>6515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996994.06</v>
      </c>
      <c r="D7" s="20">
        <f>'DOE25'!L203+'DOE25'!L221+'DOE25'!L239-F7-G7</f>
        <v>920184.94000000006</v>
      </c>
      <c r="E7" s="243"/>
      <c r="F7" s="255">
        <f>'DOE25'!J203+'DOE25'!J221+'DOE25'!J239</f>
        <v>76809.12000000001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518287.72000000009</v>
      </c>
      <c r="D8" s="243"/>
      <c r="E8" s="20">
        <f>'DOE25'!L204+'DOE25'!L222+'DOE25'!L240-F8-G8-D9-D11</f>
        <v>499707.99000000011</v>
      </c>
      <c r="F8" s="255">
        <f>'DOE25'!J204+'DOE25'!J222+'DOE25'!J240</f>
        <v>0</v>
      </c>
      <c r="G8" s="53">
        <f>'DOE25'!K204+'DOE25'!K222+'DOE25'!K240</f>
        <v>18579.73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114387.54</v>
      </c>
      <c r="D9" s="244">
        <v>114387.54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24500</v>
      </c>
      <c r="D10" s="243"/>
      <c r="E10" s="244">
        <v>24500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496934.62</v>
      </c>
      <c r="D11" s="244">
        <v>496934.62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1589847.3299999998</v>
      </c>
      <c r="D12" s="20">
        <f>'DOE25'!L205+'DOE25'!L223+'DOE25'!L241-F12-G12</f>
        <v>1580865.0299999998</v>
      </c>
      <c r="E12" s="243"/>
      <c r="F12" s="255">
        <f>'DOE25'!J205+'DOE25'!J223+'DOE25'!J241</f>
        <v>0</v>
      </c>
      <c r="G12" s="53">
        <f>'DOE25'!K205+'DOE25'!K223+'DOE25'!K241</f>
        <v>8982.2999999999993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208693.83999999997</v>
      </c>
      <c r="D13" s="243"/>
      <c r="E13" s="20">
        <f>'DOE25'!L206+'DOE25'!L224+'DOE25'!L242-F13-G13</f>
        <v>203223.78999999998</v>
      </c>
      <c r="F13" s="255">
        <f>'DOE25'!J206+'DOE25'!J224+'DOE25'!J242</f>
        <v>3591.0499999999997</v>
      </c>
      <c r="G13" s="53">
        <f>'DOE25'!K206+'DOE25'!K224+'DOE25'!K242</f>
        <v>1879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3663190.3499999996</v>
      </c>
      <c r="D14" s="20">
        <f>'DOE25'!L207+'DOE25'!L225+'DOE25'!L243-F14-G14</f>
        <v>3618157.7199999997</v>
      </c>
      <c r="E14" s="243"/>
      <c r="F14" s="255">
        <f>'DOE25'!J207+'DOE25'!J225+'DOE25'!J243</f>
        <v>45032.630000000005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1999699.4899999998</v>
      </c>
      <c r="D15" s="20">
        <f>'DOE25'!L208+'DOE25'!L226+'DOE25'!L244-F15-G15</f>
        <v>1719408.6399999997</v>
      </c>
      <c r="E15" s="243"/>
      <c r="F15" s="255">
        <f>'DOE25'!J208+'DOE25'!J226+'DOE25'!J244</f>
        <v>279458.84999999998</v>
      </c>
      <c r="G15" s="53">
        <f>'DOE25'!K208+'DOE25'!K226+'DOE25'!K244</f>
        <v>832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1502436.25</v>
      </c>
      <c r="D25" s="243"/>
      <c r="E25" s="243"/>
      <c r="F25" s="258"/>
      <c r="G25" s="256"/>
      <c r="H25" s="257">
        <f>'DOE25'!L260+'DOE25'!L261+'DOE25'!L341+'DOE25'!L342</f>
        <v>1502436.25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465377.86</v>
      </c>
      <c r="D29" s="20">
        <f>'DOE25'!L358+'DOE25'!L359+'DOE25'!L360-'DOE25'!I367-F29-G29</f>
        <v>429625.36</v>
      </c>
      <c r="E29" s="243"/>
      <c r="F29" s="255">
        <f>'DOE25'!J358+'DOE25'!J359+'DOE25'!J360</f>
        <v>35100</v>
      </c>
      <c r="G29" s="53">
        <f>'DOE25'!K358+'DOE25'!K359+'DOE25'!K360</f>
        <v>652.5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789730.8600000001</v>
      </c>
      <c r="D31" s="20">
        <f>'DOE25'!L290+'DOE25'!L309+'DOE25'!L328+'DOE25'!L333+'DOE25'!L334+'DOE25'!L335-F31-G31</f>
        <v>671867.78000000014</v>
      </c>
      <c r="E31" s="243"/>
      <c r="F31" s="255">
        <f>'DOE25'!J290+'DOE25'!J309+'DOE25'!J328+'DOE25'!J333+'DOE25'!J334+'DOE25'!J335</f>
        <v>117863.08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36366962.480000004</v>
      </c>
      <c r="E33" s="246">
        <f>SUM(E5:E31)</f>
        <v>727431.78</v>
      </c>
      <c r="F33" s="246">
        <f>SUM(F5:F31)</f>
        <v>777351.41999999993</v>
      </c>
      <c r="G33" s="246">
        <f>SUM(G5:G31)</f>
        <v>101222.77</v>
      </c>
      <c r="H33" s="246">
        <f>SUM(H5:H31)</f>
        <v>1502436.25</v>
      </c>
    </row>
    <row r="35" spans="2:8" ht="12" thickBot="1" x14ac:dyDescent="0.25">
      <c r="B35" s="253" t="s">
        <v>847</v>
      </c>
      <c r="D35" s="254">
        <f>E33</f>
        <v>727431.78</v>
      </c>
      <c r="E35" s="249"/>
    </row>
    <row r="36" spans="2:8" ht="12" thickTop="1" x14ac:dyDescent="0.2">
      <c r="B36" t="s">
        <v>815</v>
      </c>
      <c r="D36" s="20">
        <f>D33</f>
        <v>36366962.480000004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Oyster River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1237250.75</v>
      </c>
      <c r="D8" s="95">
        <f>'DOE25'!G9</f>
        <v>0</v>
      </c>
      <c r="E8" s="95">
        <f>'DOE25'!H9</f>
        <v>0</v>
      </c>
      <c r="F8" s="95">
        <f>'DOE25'!I9</f>
        <v>1500055.48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1160066.43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1679831.49</v>
      </c>
      <c r="D11" s="95">
        <f>'DOE25'!G12</f>
        <v>21094.59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158688.73000000001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113021.38</v>
      </c>
      <c r="D13" s="95">
        <f>'DOE25'!G14</f>
        <v>9300.9599999999991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83638.44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3113742.06</v>
      </c>
      <c r="D18" s="41">
        <f>SUM(D8:D17)</f>
        <v>30395.55</v>
      </c>
      <c r="E18" s="41">
        <f>SUM(E8:E17)</f>
        <v>158688.73000000001</v>
      </c>
      <c r="F18" s="41">
        <f>SUM(F8:F17)</f>
        <v>1500055.48</v>
      </c>
      <c r="G18" s="41">
        <f>SUM(G8:G17)</f>
        <v>1160066.43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100005.08</v>
      </c>
      <c r="F21" s="95">
        <f>'DOE25'!I22</f>
        <v>1600345</v>
      </c>
      <c r="G21" s="95">
        <f>'DOE25'!J22</f>
        <v>576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129220.94</v>
      </c>
      <c r="D23" s="95">
        <f>'DOE25'!G24</f>
        <v>101.83</v>
      </c>
      <c r="E23" s="95">
        <f>'DOE25'!H24</f>
        <v>9817.85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33414.53</v>
      </c>
      <c r="D27" s="95">
        <f>'DOE25'!G28</f>
        <v>0</v>
      </c>
      <c r="E27" s="95">
        <f>'DOE25'!H28</f>
        <v>0</v>
      </c>
      <c r="F27" s="95">
        <f>'DOE25'!I28</f>
        <v>27548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759231.67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30273.33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1135.77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923002.91</v>
      </c>
      <c r="D31" s="41">
        <f>SUM(D21:D30)</f>
        <v>30375.160000000003</v>
      </c>
      <c r="E31" s="41">
        <f>SUM(E21:E30)</f>
        <v>109822.93000000001</v>
      </c>
      <c r="F31" s="41">
        <f>SUM(F21:F30)</f>
        <v>1627893</v>
      </c>
      <c r="G31" s="41">
        <f>SUM(G21:G30)</f>
        <v>576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83638.44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20.39</v>
      </c>
      <c r="E42" s="95">
        <f>'DOE25'!H43</f>
        <v>0</v>
      </c>
      <c r="F42" s="95">
        <f>'DOE25'!I43</f>
        <v>0</v>
      </c>
      <c r="G42" s="95">
        <f>'DOE25'!J43</f>
        <v>1159490.43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313478.25</v>
      </c>
      <c r="D47" s="95">
        <f>'DOE25'!G48</f>
        <v>0</v>
      </c>
      <c r="E47" s="95">
        <f>'DOE25'!H48</f>
        <v>48865.8</v>
      </c>
      <c r="F47" s="95">
        <f>'DOE25'!I48</f>
        <v>-127837.52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55265.38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638357.08000000007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2190739.15</v>
      </c>
      <c r="D50" s="41">
        <f>SUM(D34:D49)</f>
        <v>20.39</v>
      </c>
      <c r="E50" s="41">
        <f>SUM(E34:E49)</f>
        <v>48865.8</v>
      </c>
      <c r="F50" s="41">
        <f>SUM(F34:F49)</f>
        <v>-127837.52</v>
      </c>
      <c r="G50" s="41">
        <f>SUM(G34:G49)</f>
        <v>1159490.43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3113742.06</v>
      </c>
      <c r="D51" s="41">
        <f>D50+D31</f>
        <v>30395.550000000003</v>
      </c>
      <c r="E51" s="41">
        <f>E50+E31</f>
        <v>158688.73000000001</v>
      </c>
      <c r="F51" s="41">
        <f>F50+F31</f>
        <v>1500055.48</v>
      </c>
      <c r="G51" s="41">
        <f>G50+G31</f>
        <v>1160066.43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27617264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1565042.7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6864.39</v>
      </c>
      <c r="D59" s="95">
        <f>'DOE25'!G96</f>
        <v>0</v>
      </c>
      <c r="E59" s="95">
        <f>'DOE25'!H96</f>
        <v>0</v>
      </c>
      <c r="F59" s="95">
        <f>'DOE25'!I96</f>
        <v>55.48</v>
      </c>
      <c r="G59" s="95">
        <f>'DOE25'!J96</f>
        <v>190.71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555869.52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30093.73</v>
      </c>
      <c r="D61" s="95">
        <f>SUM('DOE25'!G98:G110)</f>
        <v>750</v>
      </c>
      <c r="E61" s="95">
        <f>SUM('DOE25'!H98:H110)</f>
        <v>49222.37</v>
      </c>
      <c r="F61" s="95">
        <f>SUM('DOE25'!I98:I110)</f>
        <v>250</v>
      </c>
      <c r="G61" s="95">
        <f>SUM('DOE25'!J98:J110)</f>
        <v>18902.29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1602000.8199999998</v>
      </c>
      <c r="D62" s="130">
        <f>SUM(D57:D61)</f>
        <v>556619.52000000002</v>
      </c>
      <c r="E62" s="130">
        <f>SUM(E57:E61)</f>
        <v>49222.37</v>
      </c>
      <c r="F62" s="130">
        <f>SUM(F57:F61)</f>
        <v>305.48</v>
      </c>
      <c r="G62" s="130">
        <f>SUM(G57:G61)</f>
        <v>19093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29219264.82</v>
      </c>
      <c r="D63" s="22">
        <f>D56+D62</f>
        <v>556619.52000000002</v>
      </c>
      <c r="E63" s="22">
        <f>E56+E62</f>
        <v>49222.37</v>
      </c>
      <c r="F63" s="22">
        <f>F56+F62</f>
        <v>305.48</v>
      </c>
      <c r="G63" s="22">
        <f>G56+G62</f>
        <v>19093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4870897.28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3746735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8617632.2800000012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523742.1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185139.65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3123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5670.66</v>
      </c>
      <c r="D77" s="95">
        <f>SUM('DOE25'!G131:G135)</f>
        <v>6144.73</v>
      </c>
      <c r="E77" s="95">
        <f>SUM('DOE25'!H131:H135)</f>
        <v>128766.17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717675.41</v>
      </c>
      <c r="D78" s="130">
        <f>SUM(D72:D77)</f>
        <v>6144.73</v>
      </c>
      <c r="E78" s="130">
        <f>SUM(E72:E77)</f>
        <v>128766.17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9335307.6900000013</v>
      </c>
      <c r="D81" s="130">
        <f>SUM(D79:D80)+D78+D70</f>
        <v>6144.73</v>
      </c>
      <c r="E81" s="130">
        <f>SUM(E79:E80)+E78+E70</f>
        <v>128766.17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438142.71</v>
      </c>
      <c r="D88" s="95">
        <f>SUM('DOE25'!G153:G161)</f>
        <v>93687.26</v>
      </c>
      <c r="E88" s="95">
        <f>SUM('DOE25'!H153:H161)</f>
        <v>625459.55000000005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438142.71</v>
      </c>
      <c r="D91" s="131">
        <f>SUM(D85:D90)</f>
        <v>93687.26</v>
      </c>
      <c r="E91" s="131">
        <f>SUM(E85:E90)</f>
        <v>625459.55000000005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1500000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66182.350000000006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66182.350000000006</v>
      </c>
      <c r="E103" s="86">
        <f>SUM(E93:E102)</f>
        <v>0</v>
      </c>
      <c r="F103" s="86">
        <f>SUM(F93:F102)</f>
        <v>1500000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38992715.220000006</v>
      </c>
      <c r="D104" s="86">
        <f>D63+D81+D91+D103</f>
        <v>722633.86</v>
      </c>
      <c r="E104" s="86">
        <f>E63+E81+E91+E103</f>
        <v>803448.09000000008</v>
      </c>
      <c r="F104" s="86">
        <f>F63+F81+F91+F103</f>
        <v>1500305.48</v>
      </c>
      <c r="G104" s="86">
        <f>G63+G81+G103</f>
        <v>219093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15974931.789999999</v>
      </c>
      <c r="D109" s="24" t="s">
        <v>289</v>
      </c>
      <c r="E109" s="95">
        <f>('DOE25'!L276)+('DOE25'!L295)+('DOE25'!L314)</f>
        <v>147538.59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5893033.1100000003</v>
      </c>
      <c r="D110" s="24" t="s">
        <v>289</v>
      </c>
      <c r="E110" s="95">
        <f>('DOE25'!L277)+('DOE25'!L296)+('DOE25'!L315)</f>
        <v>436612.63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17277.14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769052.41</v>
      </c>
      <c r="D112" s="24" t="s">
        <v>289</v>
      </c>
      <c r="E112" s="95">
        <f>+('DOE25'!L279)+('DOE25'!L298)+('DOE25'!L317)</f>
        <v>21788.97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22654294.449999999</v>
      </c>
      <c r="D115" s="86">
        <f>SUM(D109:D114)</f>
        <v>0</v>
      </c>
      <c r="E115" s="86">
        <f>SUM(E109:E114)</f>
        <v>605940.18999999994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4451030.33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996994.06</v>
      </c>
      <c r="D119" s="24" t="s">
        <v>289</v>
      </c>
      <c r="E119" s="95">
        <f>+('DOE25'!L282)+('DOE25'!L301)+('DOE25'!L320)</f>
        <v>48007.49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1129609.8800000001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1589847.3299999998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208693.83999999997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3663190.3499999996</v>
      </c>
      <c r="D123" s="24" t="s">
        <v>289</v>
      </c>
      <c r="E123" s="95">
        <f>+('DOE25'!L286)+('DOE25'!L305)+('DOE25'!L324)</f>
        <v>12316.5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1999699.4899999998</v>
      </c>
      <c r="D124" s="24" t="s">
        <v>289</v>
      </c>
      <c r="E124" s="95">
        <f>+('DOE25'!L287)+('DOE25'!L306)+('DOE25'!L325)</f>
        <v>55000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68466.679999999993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722633.86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14039065.279999999</v>
      </c>
      <c r="D128" s="86">
        <f>SUM(D118:D127)</f>
        <v>722633.86</v>
      </c>
      <c r="E128" s="86">
        <f>SUM(E118:E127)</f>
        <v>183790.66999999998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1628143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367436.25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66182.350000000006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3752.8100000000004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215340.18999999997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-19092.999999999971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1768618.6</v>
      </c>
      <c r="D144" s="141">
        <f>SUM(D130:D143)</f>
        <v>0</v>
      </c>
      <c r="E144" s="141">
        <f>SUM(E130:E143)</f>
        <v>0</v>
      </c>
      <c r="F144" s="141">
        <f>SUM(F130:F143)</f>
        <v>1628143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38461978.329999998</v>
      </c>
      <c r="D145" s="86">
        <f>(D115+D128+D144)</f>
        <v>722633.86</v>
      </c>
      <c r="E145" s="86">
        <f>(E115+E128+E144)</f>
        <v>789730.85999999987</v>
      </c>
      <c r="F145" s="86">
        <f>(F115+F128+F144)</f>
        <v>1628143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20</v>
      </c>
      <c r="F151" s="153">
        <f>'DOE25'!J490</f>
        <v>20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06/16</v>
      </c>
      <c r="C152" s="152">
        <f>'DOE25'!G491</f>
        <v>0</v>
      </c>
      <c r="D152" s="152">
        <f>'DOE25'!H491</f>
        <v>0</v>
      </c>
      <c r="E152" s="152" t="str">
        <f>'DOE25'!I491</f>
        <v>11/01</v>
      </c>
      <c r="F152" s="152" t="str">
        <f>'DOE25'!J491</f>
        <v>08/03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07/26</v>
      </c>
      <c r="C153" s="152">
        <f>'DOE25'!G492</f>
        <v>0</v>
      </c>
      <c r="D153" s="152">
        <f>'DOE25'!H492</f>
        <v>0</v>
      </c>
      <c r="E153" s="152" t="str">
        <f>'DOE25'!I492</f>
        <v>11/21</v>
      </c>
      <c r="F153" s="152" t="str">
        <f>'DOE25'!J492</f>
        <v>02/23</v>
      </c>
      <c r="G153" s="24" t="s">
        <v>289</v>
      </c>
    </row>
    <row r="154" spans="1:9" x14ac:dyDescent="0.2">
      <c r="A154" s="136" t="s">
        <v>30</v>
      </c>
      <c r="B154" s="137">
        <f>'DOE25'!F493</f>
        <v>1500000</v>
      </c>
      <c r="C154" s="137">
        <f>'DOE25'!G493</f>
        <v>0</v>
      </c>
      <c r="D154" s="137">
        <f>'DOE25'!H493</f>
        <v>0</v>
      </c>
      <c r="E154" s="137">
        <f>'DOE25'!I493</f>
        <v>2300000</v>
      </c>
      <c r="F154" s="137">
        <f>'DOE25'!J493</f>
        <v>20406711</v>
      </c>
      <c r="G154" s="24" t="s">
        <v>289</v>
      </c>
    </row>
    <row r="155" spans="1:9" x14ac:dyDescent="0.2">
      <c r="A155" s="136" t="s">
        <v>31</v>
      </c>
      <c r="B155" s="137">
        <f>'DOE25'!F494</f>
        <v>1.88</v>
      </c>
      <c r="C155" s="137">
        <f>'DOE25'!G494</f>
        <v>0</v>
      </c>
      <c r="D155" s="137">
        <f>'DOE25'!H494</f>
        <v>0</v>
      </c>
      <c r="E155" s="137">
        <f>'DOE25'!I494</f>
        <v>4.22</v>
      </c>
      <c r="F155" s="137">
        <f>'DOE25'!J494</f>
        <v>4.09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805000</v>
      </c>
      <c r="F156" s="137">
        <f>'DOE25'!J495</f>
        <v>8160000</v>
      </c>
      <c r="G156" s="138">
        <f>SUM(B156:F156)</f>
        <v>8965000</v>
      </c>
    </row>
    <row r="157" spans="1:9" x14ac:dyDescent="0.2">
      <c r="A157" s="22" t="s">
        <v>33</v>
      </c>
      <c r="B157" s="137">
        <f>'DOE25'!F496</f>
        <v>1500000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1500000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115000</v>
      </c>
      <c r="F158" s="137">
        <f>'DOE25'!J497</f>
        <v>1020000</v>
      </c>
      <c r="G158" s="138">
        <f t="shared" si="0"/>
        <v>1135000</v>
      </c>
    </row>
    <row r="159" spans="1:9" x14ac:dyDescent="0.2">
      <c r="A159" s="22" t="s">
        <v>35</v>
      </c>
      <c r="B159" s="137">
        <f>'DOE25'!F498</f>
        <v>1500000</v>
      </c>
      <c r="C159" s="137">
        <f>'DOE25'!G498</f>
        <v>0</v>
      </c>
      <c r="D159" s="137">
        <f>'DOE25'!H498</f>
        <v>0</v>
      </c>
      <c r="E159" s="137">
        <f>'DOE25'!I498</f>
        <v>690000</v>
      </c>
      <c r="F159" s="137">
        <f>'DOE25'!J498</f>
        <v>7140000</v>
      </c>
      <c r="G159" s="138">
        <f t="shared" si="0"/>
        <v>9330000</v>
      </c>
    </row>
    <row r="160" spans="1:9" x14ac:dyDescent="0.2">
      <c r="A160" s="22" t="s">
        <v>36</v>
      </c>
      <c r="B160" s="137">
        <f>'DOE25'!F499</f>
        <v>153593.43</v>
      </c>
      <c r="C160" s="137">
        <f>'DOE25'!G499</f>
        <v>0</v>
      </c>
      <c r="D160" s="137">
        <f>'DOE25'!H499</f>
        <v>0</v>
      </c>
      <c r="E160" s="137">
        <f>'DOE25'!I499</f>
        <v>95651.25</v>
      </c>
      <c r="F160" s="137">
        <f>'DOE25'!J499</f>
        <v>1127610</v>
      </c>
      <c r="G160" s="138">
        <f t="shared" si="0"/>
        <v>1376854.68</v>
      </c>
    </row>
    <row r="161" spans="1:7" x14ac:dyDescent="0.2">
      <c r="A161" s="22" t="s">
        <v>37</v>
      </c>
      <c r="B161" s="137">
        <f>'DOE25'!F500</f>
        <v>1653593.43</v>
      </c>
      <c r="C161" s="137">
        <f>'DOE25'!G500</f>
        <v>0</v>
      </c>
      <c r="D161" s="137">
        <f>'DOE25'!H500</f>
        <v>0</v>
      </c>
      <c r="E161" s="137">
        <f>'DOE25'!I500</f>
        <v>785651.25</v>
      </c>
      <c r="F161" s="137">
        <f>'DOE25'!J500</f>
        <v>8267610</v>
      </c>
      <c r="G161" s="138">
        <f t="shared" si="0"/>
        <v>10706854.68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115000</v>
      </c>
      <c r="F162" s="137">
        <f>'DOE25'!J501</f>
        <v>1020000</v>
      </c>
      <c r="G162" s="138">
        <f t="shared" si="0"/>
        <v>1135000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28951.25</v>
      </c>
      <c r="F163" s="137">
        <f>'DOE25'!J502</f>
        <v>292740</v>
      </c>
      <c r="G163" s="138">
        <f t="shared" si="0"/>
        <v>321691.25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143951.25</v>
      </c>
      <c r="F164" s="137">
        <f>'DOE25'!J503</f>
        <v>1312740</v>
      </c>
      <c r="G164" s="138">
        <f t="shared" si="0"/>
        <v>1456691.25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22" workbookViewId="0">
      <selection activeCell="C27" sqref="C2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Oyster River Coop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17959</v>
      </c>
    </row>
    <row r="5" spans="1:4" x14ac:dyDescent="0.2">
      <c r="B5" t="s">
        <v>704</v>
      </c>
      <c r="C5" s="179">
        <f>IF('DOE25'!G665+'DOE25'!G670=0,0,ROUND('DOE25'!G672,0))</f>
        <v>16494</v>
      </c>
    </row>
    <row r="6" spans="1:4" x14ac:dyDescent="0.2">
      <c r="B6" t="s">
        <v>62</v>
      </c>
      <c r="C6" s="179">
        <f>IF('DOE25'!H665+'DOE25'!H670=0,0,ROUND('DOE25'!H672,0))</f>
        <v>17157</v>
      </c>
    </row>
    <row r="7" spans="1:4" x14ac:dyDescent="0.2">
      <c r="B7" t="s">
        <v>705</v>
      </c>
      <c r="C7" s="179">
        <f>IF('DOE25'!I665+'DOE25'!I670=0,0,ROUND('DOE25'!I672,0))</f>
        <v>17182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16122470</v>
      </c>
      <c r="D10" s="182">
        <f>ROUND((C10/$C$28)*100,1)</f>
        <v>42.4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6329646</v>
      </c>
      <c r="D11" s="182">
        <f>ROUND((C11/$C$28)*100,1)</f>
        <v>16.600000000000001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17277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790841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4451030</v>
      </c>
      <c r="D15" s="182">
        <f t="shared" ref="D15:D27" si="0">ROUND((C15/$C$28)*100,1)</f>
        <v>11.7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1045002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1198077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1589847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208694</v>
      </c>
      <c r="D19" s="182">
        <f t="shared" si="0"/>
        <v>0.5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3675507</v>
      </c>
      <c r="D20" s="182">
        <f t="shared" si="0"/>
        <v>9.6999999999999993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2054699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367436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166014.47999999998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38016540.479999997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1628143</v>
      </c>
    </row>
    <row r="30" spans="1:4" x14ac:dyDescent="0.2">
      <c r="B30" s="187" t="s">
        <v>729</v>
      </c>
      <c r="C30" s="180">
        <f>SUM(C28:C29)</f>
        <v>39644683.479999997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1135000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27617264</v>
      </c>
      <c r="D35" s="182">
        <f t="shared" ref="D35:D40" si="1">ROUND((C35/$C$41)*100,1)</f>
        <v>69.2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1670621.6700000018</v>
      </c>
      <c r="D36" s="182">
        <f t="shared" si="1"/>
        <v>4.2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8617632</v>
      </c>
      <c r="D37" s="182">
        <f t="shared" si="1"/>
        <v>21.6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852586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1157290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39915393.670000002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1500000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86" t="s">
        <v>767</v>
      </c>
      <c r="B2" s="287"/>
      <c r="C2" s="287"/>
      <c r="D2" s="287"/>
      <c r="E2" s="287"/>
      <c r="F2" s="294" t="str">
        <f>'DOE25'!A2</f>
        <v>Oyster River Coop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mergeCells count="223"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  <mergeCell ref="C33:M33"/>
    <mergeCell ref="C37:M37"/>
    <mergeCell ref="C46:M46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C42:M42"/>
    <mergeCell ref="C41:M41"/>
    <mergeCell ref="A1:I1"/>
    <mergeCell ref="C3:M3"/>
    <mergeCell ref="C4:M4"/>
    <mergeCell ref="F2:I2"/>
    <mergeCell ref="C10:M10"/>
    <mergeCell ref="C11:M11"/>
    <mergeCell ref="C12:M12"/>
    <mergeCell ref="BC29:BM29"/>
    <mergeCell ref="BP29:BZ29"/>
    <mergeCell ref="C15:M15"/>
    <mergeCell ref="C16:M16"/>
    <mergeCell ref="C17:M17"/>
    <mergeCell ref="C18:M18"/>
    <mergeCell ref="C19:M19"/>
    <mergeCell ref="C20:M20"/>
    <mergeCell ref="P29:Z29"/>
    <mergeCell ref="AC29:AM29"/>
    <mergeCell ref="C21:M21"/>
    <mergeCell ref="C22:M22"/>
    <mergeCell ref="C23:M23"/>
    <mergeCell ref="C24:M24"/>
    <mergeCell ref="C29:M29"/>
    <mergeCell ref="C25:M25"/>
    <mergeCell ref="C26:M26"/>
    <mergeCell ref="P32:Z32"/>
    <mergeCell ref="C27:M27"/>
    <mergeCell ref="AP29:AZ29"/>
    <mergeCell ref="C28:M28"/>
    <mergeCell ref="C32:M32"/>
    <mergeCell ref="C30:M30"/>
    <mergeCell ref="C31:M31"/>
    <mergeCell ref="DC30:DM30"/>
    <mergeCell ref="DP30:DZ30"/>
    <mergeCell ref="AC32:AM32"/>
    <mergeCell ref="DP31:DZ31"/>
    <mergeCell ref="AP32:AZ32"/>
    <mergeCell ref="BP32:BZ32"/>
    <mergeCell ref="A2:E2"/>
    <mergeCell ref="C5:M5"/>
    <mergeCell ref="C6:M6"/>
    <mergeCell ref="C7:M7"/>
    <mergeCell ref="C8:M8"/>
    <mergeCell ref="C13:M13"/>
    <mergeCell ref="C9:M9"/>
    <mergeCell ref="CC29:CM29"/>
    <mergeCell ref="P31:Z31"/>
    <mergeCell ref="AC31:AM31"/>
    <mergeCell ref="AP31:AZ31"/>
    <mergeCell ref="C14:M14"/>
    <mergeCell ref="P30:Z30"/>
    <mergeCell ref="AC30:AM30"/>
    <mergeCell ref="AP30:AZ30"/>
    <mergeCell ref="CC30:CM30"/>
    <mergeCell ref="BC30:BM30"/>
    <mergeCell ref="BP30:BZ30"/>
    <mergeCell ref="EC29:EM29"/>
    <mergeCell ref="EP29:EZ29"/>
    <mergeCell ref="FC29:FM29"/>
    <mergeCell ref="CP29:CZ29"/>
    <mergeCell ref="DP29:DZ29"/>
    <mergeCell ref="DC29:DM29"/>
    <mergeCell ref="IP29:IV29"/>
    <mergeCell ref="GC30:GM30"/>
    <mergeCell ref="GP30:GZ30"/>
    <mergeCell ref="IP30:IV30"/>
    <mergeCell ref="HP29:HZ29"/>
    <mergeCell ref="IC29:IM29"/>
    <mergeCell ref="FP29:FZ29"/>
    <mergeCell ref="GC29:GM29"/>
    <mergeCell ref="GP29:GZ29"/>
    <mergeCell ref="HC29:HM29"/>
    <mergeCell ref="HC30:HM30"/>
    <mergeCell ref="IC31:IM31"/>
    <mergeCell ref="IP31:IV31"/>
    <mergeCell ref="CP32:CZ32"/>
    <mergeCell ref="CP30:CZ30"/>
    <mergeCell ref="IP32:IV32"/>
    <mergeCell ref="GC32:GM32"/>
    <mergeCell ref="FC32:FM32"/>
    <mergeCell ref="IC30:IM30"/>
    <mergeCell ref="HP30:HZ30"/>
    <mergeCell ref="FC30:FM30"/>
    <mergeCell ref="FP30:FZ30"/>
    <mergeCell ref="IC32:IM32"/>
    <mergeCell ref="GP31:GZ31"/>
    <mergeCell ref="HC31:HM31"/>
    <mergeCell ref="DP32:DZ32"/>
    <mergeCell ref="EC32:EM32"/>
    <mergeCell ref="EP32:EZ32"/>
    <mergeCell ref="EC30:EM30"/>
    <mergeCell ref="EP30:EZ30"/>
    <mergeCell ref="HC32:HM32"/>
    <mergeCell ref="HP32:HZ32"/>
    <mergeCell ref="HP31:HZ31"/>
    <mergeCell ref="GP32:GZ32"/>
    <mergeCell ref="GC39:GM39"/>
    <mergeCell ref="GC31:GM31"/>
    <mergeCell ref="GC38:GM38"/>
    <mergeCell ref="DP38:DZ38"/>
    <mergeCell ref="EC38:EM38"/>
    <mergeCell ref="DC32:DM32"/>
    <mergeCell ref="DC31:DM31"/>
    <mergeCell ref="EP38:EZ38"/>
    <mergeCell ref="FC38:FM38"/>
    <mergeCell ref="FP38:FZ38"/>
    <mergeCell ref="FP32:FZ32"/>
    <mergeCell ref="FC31:FM31"/>
    <mergeCell ref="FP31:FZ31"/>
    <mergeCell ref="BP38:BZ38"/>
    <mergeCell ref="CC38:CM38"/>
    <mergeCell ref="DC38:DM38"/>
    <mergeCell ref="EC31:EM31"/>
    <mergeCell ref="EP31:EZ31"/>
    <mergeCell ref="CC32:CM32"/>
    <mergeCell ref="BC31:BM31"/>
    <mergeCell ref="BC32:BM32"/>
    <mergeCell ref="BC39:BM39"/>
    <mergeCell ref="BP31:BZ31"/>
    <mergeCell ref="CC31:CM31"/>
    <mergeCell ref="CP31:CZ31"/>
    <mergeCell ref="DC39:DM39"/>
    <mergeCell ref="DP39:DZ39"/>
    <mergeCell ref="EC39:EM39"/>
    <mergeCell ref="P38:Z38"/>
    <mergeCell ref="AC38:AM38"/>
    <mergeCell ref="AP38:AZ38"/>
    <mergeCell ref="BP39:BZ39"/>
    <mergeCell ref="CC39:CM39"/>
    <mergeCell ref="CP39:CZ39"/>
    <mergeCell ref="IP39:IV39"/>
    <mergeCell ref="EP39:EZ39"/>
    <mergeCell ref="FC39:FM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FP39:FZ39"/>
    <mergeCell ref="GP39:GZ39"/>
    <mergeCell ref="GP38:GZ38"/>
    <mergeCell ref="HC38:HM38"/>
    <mergeCell ref="HC39:HM39"/>
    <mergeCell ref="IP40:IV40"/>
    <mergeCell ref="C45:M45"/>
    <mergeCell ref="IC40:IM40"/>
    <mergeCell ref="BP40:BZ40"/>
    <mergeCell ref="FC40:FM40"/>
    <mergeCell ref="FP40:FZ40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P40:Z40"/>
    <mergeCell ref="AC40:AM40"/>
    <mergeCell ref="CC40:CM40"/>
    <mergeCell ref="CP40:CZ40"/>
    <mergeCell ref="DC40:DM40"/>
    <mergeCell ref="EP40:EZ40"/>
    <mergeCell ref="AP40:A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2016-09-20T12:38:06Z</cp:lastPrinted>
  <dcterms:created xsi:type="dcterms:W3CDTF">1997-12-04T19:04:30Z</dcterms:created>
  <dcterms:modified xsi:type="dcterms:W3CDTF">2016-12-01T18:43:49Z</dcterms:modified>
</cp:coreProperties>
</file>