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D14" i="13" s="1"/>
  <c r="C14" i="13" s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29" i="13" s="1"/>
  <c r="C29" i="13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C58" i="2" s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E113" i="2" s="1"/>
  <c r="L254" i="1"/>
  <c r="C25" i="10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C29" i="10" s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C81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C114" i="2"/>
  <c r="E114" i="2"/>
  <c r="D115" i="2"/>
  <c r="F115" i="2"/>
  <c r="G115" i="2"/>
  <c r="E121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H338" i="1" s="1"/>
  <c r="H352" i="1" s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G641" i="1"/>
  <c r="H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C26" i="10"/>
  <c r="L351" i="1"/>
  <c r="C70" i="2"/>
  <c r="A40" i="12"/>
  <c r="D18" i="13"/>
  <c r="C18" i="13" s="1"/>
  <c r="D18" i="2"/>
  <c r="D17" i="13"/>
  <c r="C17" i="13" s="1"/>
  <c r="C91" i="2"/>
  <c r="F78" i="2"/>
  <c r="F81" i="2" s="1"/>
  <c r="D50" i="2"/>
  <c r="G157" i="2"/>
  <c r="G161" i="2"/>
  <c r="E103" i="2"/>
  <c r="D91" i="2"/>
  <c r="E62" i="2"/>
  <c r="E63" i="2" s="1"/>
  <c r="G62" i="2"/>
  <c r="D19" i="13"/>
  <c r="C19" i="13" s="1"/>
  <c r="E78" i="2"/>
  <c r="E81" i="2" s="1"/>
  <c r="L427" i="1"/>
  <c r="J641" i="1"/>
  <c r="J571" i="1"/>
  <c r="K571" i="1"/>
  <c r="L433" i="1"/>
  <c r="L419" i="1"/>
  <c r="I169" i="1"/>
  <c r="J643" i="1"/>
  <c r="J140" i="1"/>
  <c r="I552" i="1"/>
  <c r="K550" i="1"/>
  <c r="G22" i="2"/>
  <c r="H140" i="1"/>
  <c r="L393" i="1"/>
  <c r="C138" i="2" s="1"/>
  <c r="F22" i="13"/>
  <c r="C22" i="13" s="1"/>
  <c r="H571" i="1"/>
  <c r="L560" i="1"/>
  <c r="G192" i="1"/>
  <c r="H192" i="1"/>
  <c r="L309" i="1"/>
  <c r="E16" i="13"/>
  <c r="C16" i="13" s="1"/>
  <c r="J655" i="1"/>
  <c r="L570" i="1"/>
  <c r="I571" i="1"/>
  <c r="G36" i="2"/>
  <c r="L565" i="1"/>
  <c r="C110" i="2" l="1"/>
  <c r="A13" i="12"/>
  <c r="G476" i="1"/>
  <c r="H623" i="1" s="1"/>
  <c r="J623" i="1" s="1"/>
  <c r="H476" i="1"/>
  <c r="H624" i="1" s="1"/>
  <c r="J624" i="1" s="1"/>
  <c r="J651" i="1"/>
  <c r="K598" i="1"/>
  <c r="G647" i="1" s="1"/>
  <c r="J649" i="1"/>
  <c r="K545" i="1"/>
  <c r="I545" i="1"/>
  <c r="J552" i="1"/>
  <c r="H545" i="1"/>
  <c r="L544" i="1"/>
  <c r="H552" i="1"/>
  <c r="G545" i="1"/>
  <c r="L534" i="1"/>
  <c r="K551" i="1"/>
  <c r="L529" i="1"/>
  <c r="G552" i="1"/>
  <c r="K549" i="1"/>
  <c r="F552" i="1"/>
  <c r="L524" i="1"/>
  <c r="J338" i="1"/>
  <c r="J352" i="1" s="1"/>
  <c r="E120" i="2"/>
  <c r="G156" i="2"/>
  <c r="K503" i="1"/>
  <c r="I476" i="1"/>
  <c r="H625" i="1" s="1"/>
  <c r="J625" i="1" s="1"/>
  <c r="F476" i="1"/>
  <c r="H622" i="1" s="1"/>
  <c r="J622" i="1" s="1"/>
  <c r="J634" i="1"/>
  <c r="F661" i="1"/>
  <c r="D127" i="2"/>
  <c r="D128" i="2" s="1"/>
  <c r="D145" i="2" s="1"/>
  <c r="H661" i="1"/>
  <c r="L362" i="1"/>
  <c r="C27" i="10" s="1"/>
  <c r="G661" i="1"/>
  <c r="L328" i="1"/>
  <c r="G338" i="1"/>
  <c r="G352" i="1" s="1"/>
  <c r="E118" i="2"/>
  <c r="C11" i="10"/>
  <c r="E109" i="2"/>
  <c r="E115" i="2" s="1"/>
  <c r="F338" i="1"/>
  <c r="F352" i="1" s="1"/>
  <c r="K338" i="1"/>
  <c r="K352" i="1" s="1"/>
  <c r="L290" i="1"/>
  <c r="E119" i="2"/>
  <c r="C16" i="10"/>
  <c r="C25" i="13"/>
  <c r="H33" i="13"/>
  <c r="C132" i="2"/>
  <c r="C124" i="2"/>
  <c r="K257" i="1"/>
  <c r="K271" i="1" s="1"/>
  <c r="J257" i="1"/>
  <c r="J271" i="1" s="1"/>
  <c r="I257" i="1"/>
  <c r="I271" i="1" s="1"/>
  <c r="C12" i="10"/>
  <c r="H257" i="1"/>
  <c r="H271" i="1" s="1"/>
  <c r="C123" i="2"/>
  <c r="C122" i="2"/>
  <c r="C119" i="2"/>
  <c r="L247" i="1"/>
  <c r="C118" i="2"/>
  <c r="C13" i="10"/>
  <c r="C109" i="2"/>
  <c r="C15" i="10"/>
  <c r="C112" i="2"/>
  <c r="D6" i="13"/>
  <c r="C6" i="13" s="1"/>
  <c r="D7" i="13"/>
  <c r="C7" i="13" s="1"/>
  <c r="D15" i="13"/>
  <c r="C15" i="13" s="1"/>
  <c r="H647" i="1"/>
  <c r="F662" i="1"/>
  <c r="I662" i="1" s="1"/>
  <c r="C21" i="10"/>
  <c r="E13" i="13"/>
  <c r="C13" i="13" s="1"/>
  <c r="E8" i="13"/>
  <c r="C8" i="13" s="1"/>
  <c r="C20" i="10"/>
  <c r="C19" i="10"/>
  <c r="D12" i="13"/>
  <c r="C12" i="13" s="1"/>
  <c r="C18" i="10"/>
  <c r="C17" i="10"/>
  <c r="D5" i="13"/>
  <c r="C5" i="13" s="1"/>
  <c r="L211" i="1"/>
  <c r="C10" i="10"/>
  <c r="D62" i="2"/>
  <c r="D63" i="2" s="1"/>
  <c r="C35" i="10"/>
  <c r="C62" i="2"/>
  <c r="F112" i="1"/>
  <c r="C63" i="2"/>
  <c r="C104" i="2" s="1"/>
  <c r="J645" i="1"/>
  <c r="J640" i="1"/>
  <c r="J639" i="1"/>
  <c r="I460" i="1"/>
  <c r="I461" i="1" s="1"/>
  <c r="H642" i="1" s="1"/>
  <c r="I446" i="1"/>
  <c r="G642" i="1" s="1"/>
  <c r="H408" i="1"/>
  <c r="H644" i="1" s="1"/>
  <c r="J644" i="1" s="1"/>
  <c r="L401" i="1"/>
  <c r="C139" i="2" s="1"/>
  <c r="I52" i="1"/>
  <c r="H620" i="1" s="1"/>
  <c r="J620" i="1" s="1"/>
  <c r="D31" i="2"/>
  <c r="H52" i="1"/>
  <c r="H619" i="1" s="1"/>
  <c r="J617" i="1"/>
  <c r="C18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J647" i="1" l="1"/>
  <c r="K552" i="1"/>
  <c r="L545" i="1"/>
  <c r="I661" i="1"/>
  <c r="G664" i="1"/>
  <c r="G667" i="1" s="1"/>
  <c r="G635" i="1"/>
  <c r="J635" i="1" s="1"/>
  <c r="L338" i="1"/>
  <c r="L352" i="1" s="1"/>
  <c r="G633" i="1" s="1"/>
  <c r="J633" i="1" s="1"/>
  <c r="H660" i="1"/>
  <c r="H664" i="1" s="1"/>
  <c r="H672" i="1" s="1"/>
  <c r="C6" i="10" s="1"/>
  <c r="E128" i="2"/>
  <c r="E145" i="2" s="1"/>
  <c r="F660" i="1"/>
  <c r="F664" i="1" s="1"/>
  <c r="F672" i="1" s="1"/>
  <c r="C4" i="10" s="1"/>
  <c r="D31" i="13"/>
  <c r="C31" i="13" s="1"/>
  <c r="H648" i="1"/>
  <c r="J648" i="1" s="1"/>
  <c r="C128" i="2"/>
  <c r="C115" i="2"/>
  <c r="E33" i="13"/>
  <c r="D35" i="13" s="1"/>
  <c r="L257" i="1"/>
  <c r="L271" i="1" s="1"/>
  <c r="G632" i="1" s="1"/>
  <c r="J632" i="1" s="1"/>
  <c r="C28" i="10"/>
  <c r="D12" i="10" s="1"/>
  <c r="G104" i="2"/>
  <c r="J642" i="1"/>
  <c r="C141" i="2"/>
  <c r="C144" i="2" s="1"/>
  <c r="L408" i="1"/>
  <c r="G637" i="1" s="1"/>
  <c r="J637" i="1" s="1"/>
  <c r="F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H667" i="1"/>
  <c r="D33" i="13"/>
  <c r="D36" i="13" s="1"/>
  <c r="I660" i="1"/>
  <c r="I664" i="1" s="1"/>
  <c r="I672" i="1" s="1"/>
  <c r="C7" i="10" s="1"/>
  <c r="C145" i="2"/>
  <c r="D11" i="10"/>
  <c r="F667" i="1"/>
  <c r="D17" i="10"/>
  <c r="D24" i="10"/>
  <c r="D23" i="10"/>
  <c r="D15" i="10"/>
  <c r="C30" i="10"/>
  <c r="D20" i="10"/>
  <c r="D19" i="10"/>
  <c r="D26" i="10"/>
  <c r="D22" i="10"/>
  <c r="D27" i="10"/>
  <c r="D25" i="10"/>
  <c r="D10" i="10"/>
  <c r="D16" i="10"/>
  <c r="D13" i="10"/>
  <c r="D21" i="10"/>
  <c r="D18" i="10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<sst xmlns="http://schemas.openxmlformats.org/spreadsheetml/2006/main" count="3982" uniqueCount="921">
  <si>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</si>
  <si>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</si>
  <si>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</si>
  <si>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</si>
  <si>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</si>
  <si>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</si>
  <si>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</si>
  <si>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</si>
  <si>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</si>
  <si>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</si>
  <si>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</si>
  <si>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</si>
  <si>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</si>
  <si>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</si>
  <si>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</si>
  <si>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</si>
  <si>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</si>
  <si>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</si>
  <si>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</si>
  <si>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</si>
  <si>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</si>
  <si>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</si>
  <si>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</si>
  <si>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</si>
  <si>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</si>
  <si>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</si>
  <si>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</si>
  <si>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</si>
  <si>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</si>
  <si>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</si>
  <si>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</si>
  <si>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</si>
  <si>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</si>
  <si>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</si>
  <si>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</si>
  <si>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</si>
  <si>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</si>
  <si>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</si>
  <si>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</si>
  <si>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</si>
  <si>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</si>
  <si>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</si>
  <si>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</si>
  <si>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</si>
  <si>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</si>
  <si>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</si>
  <si>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</si>
  <si>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</si>
  <si>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</si>
  <si>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</si>
  <si>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</si>
  <si>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</si>
  <si>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</si>
  <si>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</si>
  <si>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</si>
  <si>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</si>
  <si>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</si>
  <si>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</si>
  <si>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</si>
  <si>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</si>
  <si>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</si>
  <si>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</si>
  <si>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</si>
  <si>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</si>
  <si>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</si>
  <si>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</si>
  <si>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</si>
  <si>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</si>
  <si>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</si>
  <si>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</si>
  <si>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</si>
  <si>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</si>
  <si>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</si>
  <si>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</si>
  <si>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</si>
  <si>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</si>
  <si>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</si>
  <si>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</si>
  <si>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</si>
  <si>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</si>
  <si>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</si>
  <si>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</si>
  <si>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</si>
  <si>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</si>
  <si>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</si>
  <si>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</si>
  <si>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</si>
  <si>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</si>
  <si>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</si>
  <si>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</si>
  <si>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</si>
  <si>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</si>
  <si>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</si>
  <si>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</si>
  <si>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</si>
  <si>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</si>
  <si>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</si>
  <si>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</si>
  <si>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</si>
  <si>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</si>
  <si>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</si>
  <si>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</si>
  <si>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</si>
  <si>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</si>
  <si>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</si>
  <si>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</si>
  <si>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</si>
  <si>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</si>
  <si>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</si>
  <si>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</si>
  <si>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</si>
  <si>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</si>
  <si>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</si>
  <si>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</si>
  <si>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</si>
  <si>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</si>
  <si>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</si>
  <si>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</si>
  <si>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</si>
  <si>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</si>
  <si>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</si>
  <si>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</si>
  <si>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</si>
  <si>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</si>
  <si>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</si>
  <si>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</si>
  <si>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</si>
  <si>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</si>
  <si>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</si>
  <si>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</si>
  <si>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</si>
  <si>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</si>
  <si>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</si>
  <si>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</si>
  <si>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</si>
  <si>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</si>
  <si>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</si>
  <si>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</si>
  <si>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</si>
  <si>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</si>
  <si>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</si>
  <si>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</si>
  <si>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</si>
  <si>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</si>
  <si>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</si>
  <si>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</si>
  <si>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</si>
  <si>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</si>
  <si>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</si>
  <si>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</si>
  <si>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</si>
  <si>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</si>
  <si>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</si>
  <si>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</si>
  <si>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</si>
  <si>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</si>
  <si>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</si>
  <si>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</si>
  <si>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</si>
  <si>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</si>
  <si>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</si>
  <si>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</si>
  <si>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</si>
  <si>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</si>
  <si>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</si>
  <si>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</si>
  <si>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</si>
  <si>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</si>
  <si>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</si>
  <si>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</si>
  <si>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</si>
  <si>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</si>
  <si>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</si>
  <si>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</si>
  <si>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</si>
  <si>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</si>
  <si>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</si>
  <si>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</si>
  <si>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</si>
  <si>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</si>
  <si>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</si>
  <si>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</si>
  <si>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</si>
  <si>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</si>
  <si>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</si>
  <si>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</si>
  <si>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</si>
  <si>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</si>
  <si>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</si>
  <si>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</si>
  <si>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</si>
  <si>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</si>
  <si>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</si>
  <si>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</si>
  <si>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</si>
  <si>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</si>
  <si>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</si>
  <si>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</si>
  <si>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</si>
  <si>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</si>
  <si>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</si>
  <si>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</si>
  <si>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</si>
  <si>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</si>
  <si>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</si>
  <si>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</si>
  <si>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</si>
  <si>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</si>
  <si>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</si>
  <si>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</si>
  <si>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</si>
  <si>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</si>
  <si>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</si>
  <si>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</si>
  <si>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</si>
  <si>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</si>
  <si>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</si>
  <si>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</si>
  <si>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</si>
  <si>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</si>
  <si>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</si>
  <si>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</si>
  <si>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</si>
  <si>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</si>
  <si>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</si>
  <si>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</si>
  <si>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</si>
  <si>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</si>
  <si>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</si>
  <si>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</si>
  <si>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</si>
  <si>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</si>
  <si>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</si>
  <si>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</si>
  <si>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</si>
  <si>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</si>
  <si>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</si>
  <si>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</si>
  <si>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</si>
  <si>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</si>
  <si>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</si>
  <si>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</si>
  <si>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</si>
  <si>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</si>
  <si>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</si>
  <si>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</si>
  <si>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</si>
  <si>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</si>
  <si>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</si>
  <si>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</si>
  <si>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</si>
  <si>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</si>
  <si>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</si>
  <si>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</si>
  <si>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</si>
  <si>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</si>
  <si>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</si>
  <si>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</si>
  <si>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</si>
  <si>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</si>
  <si>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</si>
  <si>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</si>
  <si>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</si>
  <si>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</si>
  <si>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</si>
  <si>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</si>
  <si>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</si>
  <si>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</si>
  <si>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</si>
  <si>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</si>
  <si>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</si>
  <si>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</si>
  <si>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</si>
  <si>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</si>
  <si>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</si>
  <si>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</si>
  <si>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</si>
  <si>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</si>
  <si>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</si>
  <si>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</si>
  <si>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</si>
  <si>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</si>
  <si>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</si>
  <si>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</si>
  <si>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</si>
  <si>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</si>
  <si>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</si>
  <si>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</si>
  <si>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</si>
  <si>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</si>
  <si>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</si>
  <si>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</si>
  <si>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</si>
  <si>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</si>
  <si>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</si>
  <si>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</si>
  <si>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</si>
  <si>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</si>
  <si>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</si>
  <si>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</si>
  <si>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</si>
  <si>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</si>
  <si>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</si>
  <si>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</si>
  <si>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</si>
  <si>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</si>
  <si>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</si>
  <si>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</si>
  <si>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</si>
  <si>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</si>
  <si>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</si>
  <si>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</si>
  <si>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</si>
  <si>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</si>
  <si>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</si>
  <si>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</si>
  <si>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</si>
  <si>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</si>
  <si>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</si>
  <si>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</si>
  <si>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</si>
  <si>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</si>
  <si>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</si>
  <si>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</si>
  <si>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</si>
  <si>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</si>
  <si>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</si>
  <si>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</si>
  <si>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</si>
  <si>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</si>
  <si>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</si>
  <si>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</si>
  <si>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</si>
  <si>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</si>
  <si>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</si>
  <si>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</si>
  <si>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</si>
  <si>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</si>
  <si>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</si>
  <si>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</si>
  <si>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</si>
  <si>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</si>
  <si>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</si>
  <si>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</si>
  <si>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</si>
  <si>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</si>
  <si>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</si>
  <si>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</si>
  <si>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</si>
  <si>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</si>
  <si>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</si>
  <si>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</si>
  <si>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</si>
  <si>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</si>
  <si>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</si>
  <si>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</si>
  <si>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</si>
  <si>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</si>
  <si>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</si>
  <si>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</si>
  <si>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</si>
  <si>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</si>
  <si>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</si>
  <si>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</si>
  <si>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</si>
  <si>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</si>
  <si>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</si>
  <si>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</si>
  <si>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</si>
  <si>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</si>
  <si>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</si>
  <si>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</si>
  <si>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</si>
  <si>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</si>
  <si>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</si>
  <si>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</si>
  <si>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</si>
  <si>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</si>
  <si>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</si>
  <si>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</si>
  <si>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</si>
  <si>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</si>
  <si>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</si>
  <si>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</si>
  <si>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</si>
  <si>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</si>
  <si>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</si>
  <si>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</si>
  <si>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</si>
  <si>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</si>
  <si>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</si>
  <si>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</si>
  <si>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</si>
  <si>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</si>
  <si>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</si>
  <si>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</si>
  <si>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</si>
  <si>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</si>
  <si>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</si>
  <si>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</si>
  <si>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</si>
  <si>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</si>
  <si>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</si>
  <si>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</si>
  <si>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</si>
  <si>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</si>
  <si>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</si>
  <si>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</si>
  <si>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</si>
  <si>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</si>
  <si>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</si>
  <si>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</si>
  <si>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</si>
  <si>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</si>
  <si>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</si>
  <si>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</si>
  <si>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</si>
  <si>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</si>
  <si>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</si>
  <si>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</si>
  <si>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</si>
  <si>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</si>
  <si>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</si>
  <si>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</si>
  <si>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</si>
  <si>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</si>
  <si>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</si>
  <si>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</si>
  <si>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</si>
  <si>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</si>
  <si>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</si>
  <si>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</si>
  <si>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</si>
  <si>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</si>
  <si>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</si>
  <si>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</si>
  <si>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</si>
  <si>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</si>
  <si>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</si>
  <si>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</si>
  <si>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</si>
  <si>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</si>
  <si>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</si>
  <si>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</si>
  <si>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</si>
  <si>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</si>
  <si>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</si>
  <si>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</si>
  <si>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</si>
  <si>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</si>
  <si>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</si>
  <si>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</si>
  <si>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</si>
  <si>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</si>
  <si>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</si>
  <si>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</si>
  <si>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</si>
  <si>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</si>
  <si>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</si>
  <si>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</si>
  <si>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</si>
  <si>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</si>
  <si>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</si>
  <si>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</si>
  <si>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</si>
  <si>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</si>
  <si>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</si>
  <si>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</si>
  <si>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</si>
  <si>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</si>
  <si>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</si>
  <si>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</si>
  <si>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</si>
  <si>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</si>
  <si>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</si>
  <si>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</si>
  <si>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</si>
  <si>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</si>
  <si>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</si>
  <si>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</si>
  <si>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</si>
  <si>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</si>
  <si>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</si>
  <si>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</si>
  <si>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</si>
  <si>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</si>
  <si>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</si>
  <si>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</si>
  <si>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</si>
  <si>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</si>
  <si>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</si>
  <si>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</si>
  <si>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</si>
  <si>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</si>
  <si>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</si>
  <si>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</si>
  <si>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</si>
  <si>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</si>
  <si>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</si>
  <si>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</si>
  <si>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</si>
  <si>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</si>
  <si>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</si>
  <si>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</si>
  <si>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</si>
  <si>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</si>
  <si>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</si>
  <si>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</si>
  <si>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</si>
  <si>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</si>
  <si>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</si>
  <si>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</si>
  <si>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</si>
  <si>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</si>
  <si>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</si>
  <si>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</si>
  <si>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</si>
  <si>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</si>
  <si>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</si>
  <si>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</si>
  <si>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</si>
  <si>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</si>
  <si>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</si>
  <si>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</si>
  <si>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</si>
  <si>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</si>
  <si>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</si>
  <si>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</si>
  <si>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</si>
  <si>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</si>
  <si>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</si>
  <si>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</si>
  <si>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</si>
  <si>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</si>
  <si>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</si>
  <si>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</si>
  <si>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</si>
  <si>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</si>
  <si>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</si>
  <si>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</si>
  <si>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</si>
  <si>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</si>
  <si>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</si>
  <si>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</si>
  <si>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</si>
  <si>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</si>
  <si>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</si>
  <si>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</si>
  <si>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</si>
  <si>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</si>
  <si>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</si>
  <si>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</si>
  <si>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</si>
  <si>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</si>
  <si>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</si>
  <si>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</si>
  <si>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</si>
  <si>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</si>
  <si>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</si>
  <si>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</si>
  <si>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</si>
  <si>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</si>
  <si>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</si>
  <si>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</si>
  <si>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</si>
  <si>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</si>
  <si>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</si>
  <si>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</si>
  <si>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</si>
  <si>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</si>
  <si>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</si>
  <si>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</si>
  <si>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</si>
  <si>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</si>
  <si>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</si>
  <si>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</si>
  <si>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</si>
  <si>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</si>
  <si>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</si>
  <si>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</si>
  <si>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</si>
  <si>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</si>
  <si>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</si>
  <si>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</si>
  <si>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</si>
  <si>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</si>
  <si>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</si>
  <si>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</si>
  <si>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</si>
  <si>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</si>
  <si>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</si>
  <si>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</si>
  <si>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</si>
  <si>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</si>
  <si>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</si>
  <si>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</si>
  <si>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</si>
  <si>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</si>
  <si>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</si>
  <si>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</si>
  <si>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</si>
  <si>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</si>
  <si>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</si>
  <si>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</si>
  <si>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</si>
  <si>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</si>
  <si>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</si>
  <si>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</si>
  <si>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</si>
  <si>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</si>
  <si>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</si>
  <si>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</si>
  <si>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</si>
  <si>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</si>
  <si>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</si>
  <si>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</si>
  <si>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</si>
  <si>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</si>
  <si>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</si>
  <si>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</si>
  <si>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</si>
  <si>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</si>
  <si>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</si>
  <si>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</si>
  <si>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</si>
  <si>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</si>
  <si>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</si>
  <si>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</si>
  <si>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</si>
  <si>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</si>
  <si>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</si>
  <si>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</si>
  <si>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</si>
  <si>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</si>
  <si>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</si>
  <si>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</si>
  <si>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</si>
  <si>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</si>
  <si>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</si>
  <si>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</si>
  <si>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</si>
  <si>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</si>
  <si>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</si>
  <si>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</si>
  <si>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</si>
  <si>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</si>
  <si>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</si>
  <si>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</si>
  <si>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</si>
  <si>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</si>
  <si>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</si>
  <si>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</si>
  <si>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</si>
  <si>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</si>
  <si>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</si>
  <si>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</si>
  <si>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</si>
  <si>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</si>
  <si>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</si>
  <si>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</si>
  <si>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</si>
  <si>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</si>
  <si>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</si>
  <si>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</si>
  <si>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</si>
  <si>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</si>
  <si>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</si>
  <si>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</si>
  <si>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</si>
  <si>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</si>
  <si>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</si>
  <si>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</si>
  <si>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</si>
  <si>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</si>
  <si>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</si>
  <si>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</si>
  <si>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</si>
  <si>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</si>
  <si>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</si>
  <si>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</si>
  <si>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</si>
  <si>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</si>
  <si>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</si>
  <si>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</si>
  <si>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</si>
  <si>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</si>
  <si>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</si>
  <si>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</si>
  <si>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</si>
  <si>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</si>
  <si>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</si>
  <si>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</si>
  <si>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</si>
  <si>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</si>
  <si>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</si>
  <si>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</si>
  <si>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</si>
  <si>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</si>
  <si>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</si>
  <si>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</si>
  <si>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</si>
  <si>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</si>
  <si>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</si>
  <si>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</si>
  <si>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</si>
  <si>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</si>
  <si>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</si>
  <si>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</si>
  <si>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</si>
  <si>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</si>
  <si>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</si>
  <si>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</si>
  <si>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</si>
  <si>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</si>
  <si>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</si>
  <si>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</si>
  <si>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</si>
  <si>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</si>
  <si>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</si>
  <si>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</si>
  <si>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</si>
  <si>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</si>
  <si>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</si>
  <si>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</si>
  <si>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</si>
  <si>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</si>
  <si>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</si>
  <si>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</si>
  <si>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</si>
  <si>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</si>
  <si>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</si>
  <si>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</si>
  <si>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</si>
  <si>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</si>
  <si>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</si>
  <si>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</si>
  <si>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</si>
  <si>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</si>
  <si>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</si>
  <si>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</si>
  <si>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</si>
  <si>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</si>
  <si>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</si>
  <si>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</si>
  <si>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</si>
  <si>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</si>
  <si>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</si>
  <si>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</si>
  <si>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</si>
  <si>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</si>
  <si>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</si>
  <si>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</si>
  <si>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</si>
  <si>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</si>
  <si>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</si>
  <si>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</si>
  <si>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</si>
  <si>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</si>
  <si>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</si>
  <si>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</si>
  <si>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</si>
  <si>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</si>
  <si>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</si>
  <si>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</si>
  <si>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</si>
  <si>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</si>
  <si>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</si>
  <si>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</si>
  <si>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</si>
  <si>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</si>
  <si>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</si>
  <si>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</si>
  <si>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</si>
  <si>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</si>
  <si>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</si>
  <si>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</si>
  <si>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</si>
  <si>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</si>
  <si>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</si>
  <si>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</si>
  <si>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</si>
  <si>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</si>
  <si>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</si>
  <si>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</si>
  <si>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</si>
  <si>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</si>
  <si>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</si>
  <si>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</si>
  <si>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</si>
  <si>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</si>
  <si>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</si>
  <si>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</si>
  <si>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</si>
  <si>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</si>
  <si>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</si>
  <si>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</si>
  <si>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</si>
  <si>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</si>
  <si>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</si>
  <si>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</si>
  <si>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</si>
  <si>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</si>
  <si>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</si>
  <si>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</si>
  <si>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</si>
  <si>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</si>
  <si>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</si>
  <si>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</si>
  <si>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</si>
  <si>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</si>
  <si>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</si>
  <si>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</si>
  <si>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</si>
  <si>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</si>
  <si>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</si>
  <si>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</si>
  <si>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</si>
  <si>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</si>
  <si>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</si>
  <si>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</si>
  <si>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</si>
  <si>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</si>
  <si>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</si>
  <si>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</si>
  <si>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</si>
  <si>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</si>
  <si>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</si>
  <si>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</si>
  <si>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</si>
  <si>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</si>
  <si>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</si>
  <si>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</si>
  <si>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</si>
  <si>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</si>
  <si>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</si>
  <si>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</si>
  <si>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</si>
  <si>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</si>
  <si>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</si>
  <si>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</si>
  <si>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</si>
  <si>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</si>
  <si>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</si>
  <si>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</si>
  <si>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</si>
  <si>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</si>
  <si>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</si>
  <si>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</si>
  <si>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</si>
  <si>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</si>
  <si>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</si>
  <si>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</si>
  <si>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</si>
  <si>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</si>
  <si>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</si>
  <si>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</si>
  <si>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</si>
  <si>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</si>
  <si>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</si>
  <si>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</si>
  <si>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</si>
  <si>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</si>
  <si>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</si>
  <si>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</si>
  <si>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</si>
  <si>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</si>
  <si>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</si>
  <si>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</si>
  <si>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</si>
  <si>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</si>
  <si>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</si>
  <si>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</si>
  <si>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</si>
  <si>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</si>
  <si>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</si>
  <si>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</si>
  <si>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</si>
  <si>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</si>
  <si>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</si>
  <si>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</si>
  <si>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</si>
  <si>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</si>
  <si>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</si>
  <si>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</si>
  <si>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</si>
  <si>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</si>
  <si>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</si>
  <si>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</si>
  <si>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</si>
  <si>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</si>
  <si>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</si>
  <si>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</si>
  <si>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</si>
  <si>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</si>
  <si>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</si>
  <si>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</si>
  <si>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</si>
  <si>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</si>
  <si>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</si>
  <si>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</si>
  <si>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</si>
  <si>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</si>
  <si>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</si>
  <si>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</si>
  <si>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</si>
  <si>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</si>
  <si>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</si>
  <si>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</si>
  <si>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</si>
  <si>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</si>
  <si>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</si>
  <si>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</si>
  <si>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PELHAM SCHOOL DISTRICT</t>
  </si>
  <si>
    <t>4/2014</t>
  </si>
  <si>
    <t>7/2019</t>
  </si>
  <si>
    <t>7/2014</t>
  </si>
  <si>
    <t>8/2034</t>
  </si>
  <si>
    <t>16, 3</t>
  </si>
  <si>
    <t>Entered $172 for a passed through grant from US DES, through MDI biological under Environmental Ed Grant. Not sure if correct.</t>
  </si>
  <si>
    <t>8,3</t>
  </si>
  <si>
    <t>Entered 6.04 additional exp in Other Federal to adjust for prior year 2015 intergov AR cleared by auditors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</si>
</sst>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425</v>
      </c>
      <c r="C2" s="21">
        <v>425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2047793.07</v>
      </c>
      <c r="G9" s="18">
        <v>310648.98</v>
      </c>
      <c r="H9" s="18">
        <v>5919.75</v>
      </c>
      <c r="I9" s="18">
        <v>4939585.3600000003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155515.82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28625.39</v>
      </c>
      <c r="G13" s="18">
        <v>9510.67</v>
      </c>
      <c r="H13" s="18">
        <v>155859.14000000001</v>
      </c>
      <c r="I13" s="18"/>
      <c r="J13" s="67">
        <f>SUM(I442)</f>
        <v>517099.91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3537.54</v>
      </c>
      <c r="G14" s="18">
        <v>24.23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4835.01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2240306.83</v>
      </c>
      <c r="G19" s="41">
        <f>SUM(G9:G18)</f>
        <v>320183.87999999995</v>
      </c>
      <c r="H19" s="41">
        <f>SUM(H9:H18)</f>
        <v>161778.89000000001</v>
      </c>
      <c r="I19" s="41">
        <f>SUM(I9:I18)</f>
        <v>4939585.3600000003</v>
      </c>
      <c r="J19" s="41">
        <f>SUM(J9:J18)</f>
        <v>517099.91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-738.12</v>
      </c>
      <c r="G22" s="18">
        <v>394.8</v>
      </c>
      <c r="H22" s="18">
        <v>155859.14000000001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6296.34</v>
      </c>
      <c r="G24" s="18"/>
      <c r="H24" s="18"/>
      <c r="I24" s="18" t="s">
        <v>287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>
        <v>1864828.07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45809.96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443518.21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19085.04</v>
      </c>
      <c r="H30" s="18">
        <v>5919.75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494886.39</v>
      </c>
      <c r="G32" s="41">
        <f>SUM(G22:G31)</f>
        <v>19479.84</v>
      </c>
      <c r="H32" s="41">
        <f>SUM(H22:H31)</f>
        <v>161778.89000000001</v>
      </c>
      <c r="I32" s="41">
        <f>SUM(I22:I31)</f>
        <v>1864828.07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>
        <v>67802.649999999994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220587.04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2813635.74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 t="s">
        <v>287</v>
      </c>
      <c r="I48" s="18">
        <v>193318.9</v>
      </c>
      <c r="J48" s="13">
        <f>SUM(I459)</f>
        <v>517099.91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248094.64</v>
      </c>
      <c r="G49" s="18">
        <v>80117</v>
      </c>
      <c r="H49" s="18" t="s">
        <v>287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1497325.8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1745420.44</v>
      </c>
      <c r="G51" s="41">
        <f>SUM(G35:G50)</f>
        <v>300704.04000000004</v>
      </c>
      <c r="H51" s="41">
        <f>SUM(H35:H50)</f>
        <v>0</v>
      </c>
      <c r="I51" s="41">
        <f>SUM(I35:I50)</f>
        <v>3074757.29</v>
      </c>
      <c r="J51" s="41">
        <f>SUM(J35:J50)</f>
        <v>517099.91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2240306.83</v>
      </c>
      <c r="G52" s="41">
        <f>G51+G32</f>
        <v>320183.88000000006</v>
      </c>
      <c r="H52" s="41">
        <f>H51+H32</f>
        <v>161778.89000000001</v>
      </c>
      <c r="I52" s="41">
        <f>I51+I32</f>
        <v>4939585.3600000003</v>
      </c>
      <c r="J52" s="41">
        <f>J51+J32</f>
        <v>517099.91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18273047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18273047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48085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6161.89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54246.89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 t="s">
        <v>287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543.24</v>
      </c>
      <c r="G96" s="18"/>
      <c r="H96" s="18"/>
      <c r="I96" s="18">
        <v>20251.810000000001</v>
      </c>
      <c r="J96" s="18">
        <v>427.76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671601.16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28655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2367.58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 t="s">
        <v>287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393807.99</v>
      </c>
      <c r="G110" s="18">
        <v>1282.6300000000001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423006.23</v>
      </c>
      <c r="G111" s="41">
        <f>SUM(G96:G110)</f>
        <v>672883.79</v>
      </c>
      <c r="H111" s="41">
        <f>SUM(H96:H110)</f>
        <v>2367.58</v>
      </c>
      <c r="I111" s="41">
        <f>SUM(I96:I110)</f>
        <v>20251.810000000001</v>
      </c>
      <c r="J111" s="41">
        <f>SUM(J96:J110)</f>
        <v>427.76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18750300.120000001</v>
      </c>
      <c r="G112" s="41">
        <f>G60+G111</f>
        <v>672883.79</v>
      </c>
      <c r="H112" s="41">
        <f>H60+H79+H94+H111</f>
        <v>2367.58</v>
      </c>
      <c r="I112" s="41">
        <f>I60+I111</f>
        <v>20251.810000000001</v>
      </c>
      <c r="J112" s="41">
        <f>J60+J111</f>
        <v>427.76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4522177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3384554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7906731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436234.31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18476.8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11226.23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454711.11</v>
      </c>
      <c r="G136" s="41">
        <f>SUM(G123:G135)</f>
        <v>11226.23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8361442.1100000003</v>
      </c>
      <c r="G140" s="41">
        <f>G121+SUM(G136:G137)</f>
        <v>11226.23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132235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77556.039999999994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199611.79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413346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194050.07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194050.07</v>
      </c>
      <c r="G162" s="41">
        <f>SUM(G150:G161)</f>
        <v>199611.79</v>
      </c>
      <c r="H162" s="41">
        <f>SUM(H150:H161)</f>
        <v>623137.04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172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194050.07</v>
      </c>
      <c r="G169" s="41">
        <f>G147+G162+SUM(G163:G168)</f>
        <v>199611.79</v>
      </c>
      <c r="H169" s="41">
        <f>H147+H162+SUM(H163:H168)</f>
        <v>623309.04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27305792.300000001</v>
      </c>
      <c r="G193" s="47">
        <f>G112+G140+G169+G192</f>
        <v>883721.81</v>
      </c>
      <c r="H193" s="47">
        <f>H112+H140+H169+H192</f>
        <v>625676.62</v>
      </c>
      <c r="I193" s="47">
        <f>I112+I140+I169+I192</f>
        <v>20251.810000000001</v>
      </c>
      <c r="J193" s="47">
        <f>J112+J140+J192</f>
        <v>150427.76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3774260.87</v>
      </c>
      <c r="G197" s="18">
        <v>1912130.84</v>
      </c>
      <c r="H197" s="18">
        <v>16185.27</v>
      </c>
      <c r="I197" s="18">
        <v>140601.95000000001</v>
      </c>
      <c r="J197" s="18">
        <v>32276.78</v>
      </c>
      <c r="K197" s="18">
        <v>2496.4699999999998</v>
      </c>
      <c r="L197" s="19">
        <f>SUM(F197:K197)</f>
        <v>5877952.1799999997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1729431.73</v>
      </c>
      <c r="G198" s="18">
        <v>531657.28</v>
      </c>
      <c r="H198" s="18">
        <v>944316.56</v>
      </c>
      <c r="I198" s="18">
        <v>13567.34</v>
      </c>
      <c r="J198" s="18">
        <v>10810.26</v>
      </c>
      <c r="K198" s="18">
        <v>15380.86</v>
      </c>
      <c r="L198" s="19">
        <f>SUM(F198:K198)</f>
        <v>3245164.0299999993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73124.88</v>
      </c>
      <c r="G200" s="18">
        <v>15016.28</v>
      </c>
      <c r="H200" s="18">
        <v>6369</v>
      </c>
      <c r="I200" s="18">
        <v>8240.25</v>
      </c>
      <c r="J200" s="18">
        <v>0</v>
      </c>
      <c r="K200" s="18">
        <v>1663</v>
      </c>
      <c r="L200" s="19">
        <f>SUM(F200:K200)</f>
        <v>104413.41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765194.2</v>
      </c>
      <c r="G202" s="18">
        <v>335323.21000000002</v>
      </c>
      <c r="H202" s="18">
        <v>80670.84</v>
      </c>
      <c r="I202" s="18">
        <v>17532.93</v>
      </c>
      <c r="J202" s="18">
        <v>934.53</v>
      </c>
      <c r="K202" s="18">
        <v>1190</v>
      </c>
      <c r="L202" s="19">
        <f t="shared" ref="L202:L208" si="0">SUM(F202:K202)</f>
        <v>1200845.71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242357.5</v>
      </c>
      <c r="G203" s="18">
        <v>154483.78</v>
      </c>
      <c r="H203" s="18">
        <v>15762.79</v>
      </c>
      <c r="I203" s="18">
        <v>17871.5</v>
      </c>
      <c r="J203" s="18">
        <v>20297.47</v>
      </c>
      <c r="K203" s="18">
        <v>3668.28</v>
      </c>
      <c r="L203" s="19">
        <f t="shared" si="0"/>
        <v>454441.32000000007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241262.51</v>
      </c>
      <c r="G204" s="18">
        <v>101747.74</v>
      </c>
      <c r="H204" s="18">
        <v>59985.9</v>
      </c>
      <c r="I204" s="18">
        <v>4949.07</v>
      </c>
      <c r="J204" s="18">
        <v>151.18</v>
      </c>
      <c r="K204" s="18">
        <v>12018.09</v>
      </c>
      <c r="L204" s="19">
        <f t="shared" si="0"/>
        <v>420114.49000000005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616248.43000000005</v>
      </c>
      <c r="G205" s="18">
        <v>305468.88</v>
      </c>
      <c r="H205" s="18">
        <v>58480.53</v>
      </c>
      <c r="I205" s="18">
        <v>6203.28</v>
      </c>
      <c r="J205" s="18">
        <v>2034.85</v>
      </c>
      <c r="K205" s="18">
        <v>5398</v>
      </c>
      <c r="L205" s="19">
        <f t="shared" si="0"/>
        <v>993833.97000000009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138449.87</v>
      </c>
      <c r="G206" s="18">
        <v>72402.97</v>
      </c>
      <c r="H206" s="18">
        <v>33388</v>
      </c>
      <c r="I206" s="18">
        <v>6200.64</v>
      </c>
      <c r="J206" s="18">
        <v>0</v>
      </c>
      <c r="K206" s="18">
        <v>2382.29</v>
      </c>
      <c r="L206" s="19">
        <f t="shared" si="0"/>
        <v>252823.77000000002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373283.23</v>
      </c>
      <c r="G207" s="18">
        <v>209591.97</v>
      </c>
      <c r="H207" s="18">
        <v>319032.2</v>
      </c>
      <c r="I207" s="18">
        <v>363699.45</v>
      </c>
      <c r="J207" s="18">
        <v>61606.75</v>
      </c>
      <c r="K207" s="18">
        <v>85.8</v>
      </c>
      <c r="L207" s="19">
        <f t="shared" si="0"/>
        <v>1327299.3999999999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890599.7</v>
      </c>
      <c r="I208" s="18">
        <v>42842.18</v>
      </c>
      <c r="J208" s="18"/>
      <c r="K208" s="18"/>
      <c r="L208" s="19">
        <f t="shared" si="0"/>
        <v>933441.88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182404.53</v>
      </c>
      <c r="G209" s="18">
        <v>173481.03</v>
      </c>
      <c r="H209" s="18">
        <v>98218.72</v>
      </c>
      <c r="I209" s="18">
        <v>62295.7</v>
      </c>
      <c r="J209" s="18">
        <v>72449.36</v>
      </c>
      <c r="K209" s="18">
        <v>271.35000000000002</v>
      </c>
      <c r="L209" s="19">
        <f>SUM(F209:K209)</f>
        <v>589120.69000000006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8136017.7499999991</v>
      </c>
      <c r="G211" s="41">
        <f t="shared" si="1"/>
        <v>3811303.98</v>
      </c>
      <c r="H211" s="41">
        <f t="shared" si="1"/>
        <v>2523009.5100000002</v>
      </c>
      <c r="I211" s="41">
        <f t="shared" si="1"/>
        <v>684004.29</v>
      </c>
      <c r="J211" s="41">
        <f t="shared" si="1"/>
        <v>200561.18</v>
      </c>
      <c r="K211" s="41">
        <f t="shared" si="1"/>
        <v>44554.14</v>
      </c>
      <c r="L211" s="41">
        <f t="shared" si="1"/>
        <v>15399450.85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2337630.06</v>
      </c>
      <c r="G233" s="18">
        <v>1050484.8500000001</v>
      </c>
      <c r="H233" s="18">
        <v>17327.72</v>
      </c>
      <c r="I233" s="18">
        <v>135443.39000000001</v>
      </c>
      <c r="J233" s="18">
        <v>135838.07</v>
      </c>
      <c r="K233" s="18">
        <v>0</v>
      </c>
      <c r="L233" s="19">
        <f>SUM(F233:K233)</f>
        <v>3676724.0900000003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668026.42000000004</v>
      </c>
      <c r="G234" s="18">
        <v>200221.24</v>
      </c>
      <c r="H234" s="18">
        <v>770666.43</v>
      </c>
      <c r="I234" s="18">
        <v>5142.28</v>
      </c>
      <c r="J234" s="18">
        <v>4791.93</v>
      </c>
      <c r="K234" s="18">
        <v>6910.24</v>
      </c>
      <c r="L234" s="19">
        <f>SUM(F234:K234)</f>
        <v>1655758.54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124590.41</v>
      </c>
      <c r="I235" s="18">
        <v>0</v>
      </c>
      <c r="J235" s="18">
        <v>0</v>
      </c>
      <c r="K235" s="18">
        <v>0</v>
      </c>
      <c r="L235" s="19">
        <f>SUM(F235:K235)</f>
        <v>124590.41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289049.87</v>
      </c>
      <c r="G236" s="18">
        <v>108305.55</v>
      </c>
      <c r="H236" s="18">
        <v>63509.47</v>
      </c>
      <c r="I236" s="18">
        <v>47740.44</v>
      </c>
      <c r="J236" s="18">
        <v>2600</v>
      </c>
      <c r="K236" s="18">
        <v>16941.63</v>
      </c>
      <c r="L236" s="19">
        <f>SUM(F236:K236)</f>
        <v>528146.96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479088.54</v>
      </c>
      <c r="G238" s="18">
        <v>242733.05</v>
      </c>
      <c r="H238" s="18">
        <v>45259.08</v>
      </c>
      <c r="I238" s="18">
        <v>9580.68</v>
      </c>
      <c r="J238" s="18">
        <v>951.96</v>
      </c>
      <c r="K238" s="18">
        <v>910</v>
      </c>
      <c r="L238" s="19">
        <f t="shared" ref="L238:L244" si="4">SUM(F238:K238)</f>
        <v>778523.30999999994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144639.03</v>
      </c>
      <c r="G239" s="18">
        <v>98800.02</v>
      </c>
      <c r="H239" s="18">
        <v>8124.06</v>
      </c>
      <c r="I239" s="18">
        <v>29296.87</v>
      </c>
      <c r="J239" s="18">
        <v>60505.77</v>
      </c>
      <c r="K239" s="18">
        <v>1806.77</v>
      </c>
      <c r="L239" s="19">
        <f t="shared" si="4"/>
        <v>343172.52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111309.9</v>
      </c>
      <c r="G240" s="18">
        <v>47064.85</v>
      </c>
      <c r="H240" s="18">
        <v>28194.3</v>
      </c>
      <c r="I240" s="18">
        <v>2326.5500000000002</v>
      </c>
      <c r="J240" s="18">
        <v>71.150000000000006</v>
      </c>
      <c r="K240" s="18">
        <v>5634.85</v>
      </c>
      <c r="L240" s="19">
        <f t="shared" si="4"/>
        <v>194601.59999999998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314184.96999999997</v>
      </c>
      <c r="G241" s="18">
        <v>118371.37</v>
      </c>
      <c r="H241" s="18">
        <v>30416.39</v>
      </c>
      <c r="I241" s="18">
        <v>278.5</v>
      </c>
      <c r="J241" s="18">
        <v>0</v>
      </c>
      <c r="K241" s="18">
        <v>14123.91</v>
      </c>
      <c r="L241" s="19">
        <f t="shared" si="4"/>
        <v>477375.13999999996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68191.73</v>
      </c>
      <c r="G242" s="18">
        <v>35661.17</v>
      </c>
      <c r="H242" s="18">
        <v>16444.830000000002</v>
      </c>
      <c r="I242" s="18">
        <v>3054.04</v>
      </c>
      <c r="J242" s="18">
        <v>0</v>
      </c>
      <c r="K242" s="18">
        <v>1173.3599999999999</v>
      </c>
      <c r="L242" s="19">
        <f t="shared" si="4"/>
        <v>124525.12999999999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260839.96</v>
      </c>
      <c r="G243" s="18">
        <v>120638.58</v>
      </c>
      <c r="H243" s="18">
        <v>176177.7</v>
      </c>
      <c r="I243" s="18">
        <v>321069.81</v>
      </c>
      <c r="J243" s="18">
        <v>19020.259999999998</v>
      </c>
      <c r="K243" s="18">
        <v>79.2</v>
      </c>
      <c r="L243" s="19">
        <f t="shared" si="4"/>
        <v>897825.51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616800.34</v>
      </c>
      <c r="I244" s="18">
        <v>20161.02</v>
      </c>
      <c r="J244" s="18">
        <v>0</v>
      </c>
      <c r="K244" s="18">
        <v>0</v>
      </c>
      <c r="L244" s="19">
        <f t="shared" si="4"/>
        <v>636961.36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89841.04</v>
      </c>
      <c r="G245" s="18">
        <v>85445.88</v>
      </c>
      <c r="H245" s="18">
        <v>48376.39</v>
      </c>
      <c r="I245" s="18">
        <v>30682.95</v>
      </c>
      <c r="J245" s="18">
        <v>35684.01</v>
      </c>
      <c r="K245" s="18">
        <v>133.65</v>
      </c>
      <c r="L245" s="19">
        <f>SUM(F245:K245)</f>
        <v>290163.92000000004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4762801.5200000005</v>
      </c>
      <c r="G247" s="41">
        <f t="shared" si="5"/>
        <v>2107726.56</v>
      </c>
      <c r="H247" s="41">
        <f t="shared" si="5"/>
        <v>1945887.1199999999</v>
      </c>
      <c r="I247" s="41">
        <f t="shared" si="5"/>
        <v>604776.53</v>
      </c>
      <c r="J247" s="41">
        <f t="shared" si="5"/>
        <v>259463.15</v>
      </c>
      <c r="K247" s="41">
        <f t="shared" si="5"/>
        <v>47713.610000000008</v>
      </c>
      <c r="L247" s="41">
        <f t="shared" si="5"/>
        <v>9728368.4899999984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356923.94</v>
      </c>
      <c r="I255" s="18"/>
      <c r="J255" s="18"/>
      <c r="K255" s="18"/>
      <c r="L255" s="19">
        <f t="shared" si="6"/>
        <v>356923.94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356923.94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356923.94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12898819.27</v>
      </c>
      <c r="G257" s="41">
        <f t="shared" si="8"/>
        <v>5919030.54</v>
      </c>
      <c r="H257" s="41">
        <f t="shared" si="8"/>
        <v>4825820.57</v>
      </c>
      <c r="I257" s="41">
        <f t="shared" si="8"/>
        <v>1288780.82</v>
      </c>
      <c r="J257" s="41">
        <f t="shared" si="8"/>
        <v>460024.32999999996</v>
      </c>
      <c r="K257" s="41">
        <f t="shared" si="8"/>
        <v>92267.75</v>
      </c>
      <c r="L257" s="41">
        <f t="shared" si="8"/>
        <v>25484743.279999997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1040000</v>
      </c>
      <c r="L260" s="19">
        <f>SUM(F260:K260)</f>
        <v>1040000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907275</v>
      </c>
      <c r="L261" s="19">
        <f>SUM(F261:K261)</f>
        <v>907275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 t="s">
        <v>287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150000</v>
      </c>
      <c r="L266" s="19">
        <f t="shared" si="9"/>
        <v>150000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2097275</v>
      </c>
      <c r="L270" s="41">
        <f t="shared" si="9"/>
        <v>2097275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12898819.27</v>
      </c>
      <c r="G271" s="42">
        <f t="shared" si="11"/>
        <v>5919030.54</v>
      </c>
      <c r="H271" s="42">
        <f t="shared" si="11"/>
        <v>4825820.57</v>
      </c>
      <c r="I271" s="42">
        <f t="shared" si="11"/>
        <v>1288780.82</v>
      </c>
      <c r="J271" s="42">
        <f t="shared" si="11"/>
        <v>460024.32999999996</v>
      </c>
      <c r="K271" s="42">
        <f t="shared" si="11"/>
        <v>2189542.75</v>
      </c>
      <c r="L271" s="42">
        <f t="shared" si="11"/>
        <v>27582018.279999997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109539.9</v>
      </c>
      <c r="G276" s="18">
        <v>10060.700000000001</v>
      </c>
      <c r="H276" s="18">
        <v>0</v>
      </c>
      <c r="I276" s="18">
        <v>1543.7</v>
      </c>
      <c r="J276" s="18">
        <v>5840.35</v>
      </c>
      <c r="K276" s="18">
        <v>726.39</v>
      </c>
      <c r="L276" s="19">
        <f>SUM(F276:K276)</f>
        <v>127711.03999999999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200989.73</v>
      </c>
      <c r="G277" s="18">
        <v>53606.36</v>
      </c>
      <c r="H277" s="18">
        <v>11982.75</v>
      </c>
      <c r="I277" s="18">
        <v>2011.52</v>
      </c>
      <c r="J277" s="18">
        <v>1940.9</v>
      </c>
      <c r="K277" s="18"/>
      <c r="L277" s="19">
        <f>SUM(F277:K277)</f>
        <v>270531.26000000007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 t="s">
        <v>287</v>
      </c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12849.3</v>
      </c>
      <c r="G282" s="18">
        <v>2922.08</v>
      </c>
      <c r="H282" s="18">
        <v>39538.6</v>
      </c>
      <c r="I282" s="18"/>
      <c r="J282" s="18"/>
      <c r="K282" s="18"/>
      <c r="L282" s="19">
        <f t="shared" si="12"/>
        <v>55309.979999999996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 t="s">
        <v>287</v>
      </c>
      <c r="G283" s="18"/>
      <c r="H283" s="18"/>
      <c r="I283" s="18">
        <v>170</v>
      </c>
      <c r="J283" s="18"/>
      <c r="K283" s="18"/>
      <c r="L283" s="19">
        <f t="shared" si="12"/>
        <v>170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>
        <v>498.16</v>
      </c>
      <c r="L288" s="19">
        <f>SUM(F288:K288)</f>
        <v>498.16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323378.93</v>
      </c>
      <c r="G290" s="42">
        <f t="shared" si="13"/>
        <v>66589.14</v>
      </c>
      <c r="H290" s="42">
        <f t="shared" si="13"/>
        <v>51521.35</v>
      </c>
      <c r="I290" s="42">
        <f t="shared" si="13"/>
        <v>3725.2200000000003</v>
      </c>
      <c r="J290" s="42">
        <f t="shared" si="13"/>
        <v>7781.25</v>
      </c>
      <c r="K290" s="42">
        <f t="shared" si="13"/>
        <v>1224.55</v>
      </c>
      <c r="L290" s="41">
        <f t="shared" si="13"/>
        <v>454220.44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45.14</v>
      </c>
      <c r="I314" s="18">
        <v>405.25</v>
      </c>
      <c r="J314" s="18"/>
      <c r="K314" s="18">
        <v>341.83</v>
      </c>
      <c r="L314" s="19">
        <f>SUM(F314:K314)</f>
        <v>792.22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108225.24</v>
      </c>
      <c r="G315" s="18">
        <v>28864.97</v>
      </c>
      <c r="H315" s="18">
        <v>6452.25</v>
      </c>
      <c r="I315" s="18">
        <v>1083.1300000000001</v>
      </c>
      <c r="J315" s="18">
        <v>1045.0999999999999</v>
      </c>
      <c r="K315" s="18"/>
      <c r="L315" s="19">
        <f>SUM(F315:K315)</f>
        <v>145670.69000000003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 t="s">
        <v>287</v>
      </c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5540.7</v>
      </c>
      <c r="G320" s="18">
        <v>1252.6600000000001</v>
      </c>
      <c r="H320" s="18">
        <v>17568.71</v>
      </c>
      <c r="I320" s="18"/>
      <c r="J320" s="18"/>
      <c r="K320" s="18"/>
      <c r="L320" s="19">
        <f t="shared" si="16"/>
        <v>24362.07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>
        <v>80</v>
      </c>
      <c r="J321" s="18"/>
      <c r="K321" s="18"/>
      <c r="L321" s="19">
        <f t="shared" si="16"/>
        <v>80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 t="s">
        <v>287</v>
      </c>
      <c r="G326" s="18"/>
      <c r="H326" s="18"/>
      <c r="I326" s="18"/>
      <c r="J326" s="18"/>
      <c r="K326" s="18">
        <v>551.20000000000005</v>
      </c>
      <c r="L326" s="19">
        <f>SUM(F326:K326)</f>
        <v>551.20000000000005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113765.94</v>
      </c>
      <c r="G328" s="42">
        <f t="shared" si="17"/>
        <v>30117.63</v>
      </c>
      <c r="H328" s="42">
        <f t="shared" si="17"/>
        <v>24066.1</v>
      </c>
      <c r="I328" s="42">
        <f t="shared" si="17"/>
        <v>1568.38</v>
      </c>
      <c r="J328" s="42">
        <f t="shared" si="17"/>
        <v>1045.0999999999999</v>
      </c>
      <c r="K328" s="42">
        <f t="shared" si="17"/>
        <v>893.03</v>
      </c>
      <c r="L328" s="41">
        <f t="shared" si="17"/>
        <v>171456.18000000005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 t="s">
        <v>287</v>
      </c>
      <c r="G332" s="18" t="s">
        <v>287</v>
      </c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437144.87</v>
      </c>
      <c r="G338" s="41">
        <f t="shared" si="20"/>
        <v>96706.77</v>
      </c>
      <c r="H338" s="41">
        <f t="shared" si="20"/>
        <v>75587.45</v>
      </c>
      <c r="I338" s="41">
        <f t="shared" si="20"/>
        <v>5293.6</v>
      </c>
      <c r="J338" s="41">
        <f t="shared" si="20"/>
        <v>8826.35</v>
      </c>
      <c r="K338" s="41">
        <f t="shared" si="20"/>
        <v>2117.58</v>
      </c>
      <c r="L338" s="41">
        <f t="shared" si="20"/>
        <v>625676.62000000011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437144.87</v>
      </c>
      <c r="G352" s="41">
        <f>G338</f>
        <v>96706.77</v>
      </c>
      <c r="H352" s="41">
        <f>H338</f>
        <v>75587.45</v>
      </c>
      <c r="I352" s="41">
        <f>I338</f>
        <v>5293.6</v>
      </c>
      <c r="J352" s="41">
        <f>J338</f>
        <v>8826.35</v>
      </c>
      <c r="K352" s="47">
        <f>K338+K351</f>
        <v>2117.58</v>
      </c>
      <c r="L352" s="41">
        <f>L338+L351</f>
        <v>625676.62000000011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206634.26</v>
      </c>
      <c r="G358" s="18">
        <v>76512.960000000006</v>
      </c>
      <c r="H358" s="18">
        <v>14725.58</v>
      </c>
      <c r="I358" s="18">
        <v>282888.21000000002</v>
      </c>
      <c r="J358" s="18">
        <v>1563.77</v>
      </c>
      <c r="K358" s="18">
        <v>439.62</v>
      </c>
      <c r="L358" s="13">
        <f>SUM(F358:K358)</f>
        <v>582764.4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90038.26</v>
      </c>
      <c r="G360" s="18">
        <v>19382.11</v>
      </c>
      <c r="H360" s="18">
        <v>5523.89</v>
      </c>
      <c r="I360" s="18">
        <v>155958.16</v>
      </c>
      <c r="J360" s="18">
        <v>312.36</v>
      </c>
      <c r="K360" s="18">
        <v>206.88</v>
      </c>
      <c r="L360" s="19">
        <f>SUM(F360:K360)</f>
        <v>271421.65999999997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296672.52</v>
      </c>
      <c r="G362" s="47">
        <f t="shared" si="22"/>
        <v>95895.07</v>
      </c>
      <c r="H362" s="47">
        <f t="shared" si="22"/>
        <v>20249.47</v>
      </c>
      <c r="I362" s="47">
        <f t="shared" si="22"/>
        <v>438846.37</v>
      </c>
      <c r="J362" s="47">
        <f t="shared" si="22"/>
        <v>1876.13</v>
      </c>
      <c r="K362" s="47">
        <f t="shared" si="22"/>
        <v>646.5</v>
      </c>
      <c r="L362" s="47">
        <f t="shared" si="22"/>
        <v>854186.06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219644.37</v>
      </c>
      <c r="G367" s="18"/>
      <c r="H367" s="18">
        <v>128250.06</v>
      </c>
      <c r="I367" s="56">
        <f>SUM(F367:H367)</f>
        <v>347894.43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63243.839999999997</v>
      </c>
      <c r="G368" s="63"/>
      <c r="H368" s="63">
        <v>27708.1</v>
      </c>
      <c r="I368" s="56">
        <f>SUM(F368:H368)</f>
        <v>90951.94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282888.20999999996</v>
      </c>
      <c r="G369" s="47">
        <f>SUM(G367:G368)</f>
        <v>0</v>
      </c>
      <c r="H369" s="47">
        <f>SUM(H367:H368)</f>
        <v>155958.16</v>
      </c>
      <c r="I369" s="47">
        <f>SUM(I367:I368)</f>
        <v>438846.37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1538121.07</v>
      </c>
      <c r="I375" s="18"/>
      <c r="J375" s="18"/>
      <c r="K375" s="18"/>
      <c r="L375" s="13">
        <f t="shared" ref="L375:L381" si="23">SUM(F375:K375)</f>
        <v>1538121.07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518265.51</v>
      </c>
      <c r="I376" s="18"/>
      <c r="J376" s="18"/>
      <c r="K376" s="18"/>
      <c r="L376" s="13">
        <f t="shared" si="23"/>
        <v>518265.51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702111.99</v>
      </c>
      <c r="I378" s="18"/>
      <c r="J378" s="18">
        <v>41061.760000000002</v>
      </c>
      <c r="K378" s="18">
        <v>29278.57</v>
      </c>
      <c r="L378" s="13">
        <f t="shared" si="23"/>
        <v>772452.32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6644503.1299999999</v>
      </c>
      <c r="I379" s="18"/>
      <c r="J379" s="18">
        <v>49510.16</v>
      </c>
      <c r="K379" s="18">
        <v>26318</v>
      </c>
      <c r="L379" s="13">
        <f t="shared" si="23"/>
        <v>6720331.29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9403001.6999999993</v>
      </c>
      <c r="I382" s="41">
        <f t="shared" si="24"/>
        <v>0</v>
      </c>
      <c r="J382" s="47">
        <f t="shared" si="24"/>
        <v>90571.920000000013</v>
      </c>
      <c r="K382" s="47">
        <f t="shared" si="24"/>
        <v>55596.57</v>
      </c>
      <c r="L382" s="47">
        <f t="shared" si="24"/>
        <v>9549170.1899999995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11.21</v>
      </c>
      <c r="I387" s="18"/>
      <c r="J387" s="24" t="s">
        <v>289</v>
      </c>
      <c r="K387" s="24" t="s">
        <v>289</v>
      </c>
      <c r="L387" s="56">
        <f t="shared" ref="L387:L392" si="25">SUM(F387:K387)</f>
        <v>11.21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27.63</v>
      </c>
      <c r="I391" s="18"/>
      <c r="J391" s="24" t="s">
        <v>289</v>
      </c>
      <c r="K391" s="24" t="s">
        <v>289</v>
      </c>
      <c r="L391" s="56">
        <f t="shared" si="25"/>
        <v>27.63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38.840000000000003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38.840000000000003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180.37</v>
      </c>
      <c r="I396" s="18"/>
      <c r="J396" s="24" t="s">
        <v>289</v>
      </c>
      <c r="K396" s="24" t="s">
        <v>289</v>
      </c>
      <c r="L396" s="56">
        <f t="shared" si="26"/>
        <v>25180.37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125000</v>
      </c>
      <c r="H397" s="18">
        <v>154.11000000000001</v>
      </c>
      <c r="I397" s="18"/>
      <c r="J397" s="24" t="s">
        <v>289</v>
      </c>
      <c r="K397" s="24" t="s">
        <v>289</v>
      </c>
      <c r="L397" s="56">
        <f t="shared" si="26"/>
        <v>125154.11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 t="s">
        <v>287</v>
      </c>
      <c r="H400" s="18">
        <v>54.44</v>
      </c>
      <c r="I400" s="18" t="s">
        <v>287</v>
      </c>
      <c r="J400" s="24" t="s">
        <v>289</v>
      </c>
      <c r="K400" s="24" t="s">
        <v>289</v>
      </c>
      <c r="L400" s="56">
        <f t="shared" si="26"/>
        <v>54.44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150000</v>
      </c>
      <c r="H401" s="47">
        <f>SUM(H395:H400)</f>
        <v>388.92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150388.92000000001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150000</v>
      </c>
      <c r="H408" s="47">
        <f>H393+H401+H407</f>
        <v>427.76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150427.76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236.85</v>
      </c>
      <c r="L426" s="56">
        <f t="shared" si="29"/>
        <v>236.85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236.85</v>
      </c>
      <c r="L427" s="47">
        <f t="shared" si="30"/>
        <v>236.85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236.85</v>
      </c>
      <c r="L434" s="47">
        <f t="shared" si="32"/>
        <v>236.85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251057.55</v>
      </c>
      <c r="G442" s="18">
        <v>266042.36</v>
      </c>
      <c r="H442" s="18"/>
      <c r="I442" s="56">
        <f t="shared" si="33"/>
        <v>517099.91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251057.55</v>
      </c>
      <c r="G446" s="13">
        <f>SUM(G439:G445)</f>
        <v>266042.36</v>
      </c>
      <c r="H446" s="13">
        <f>SUM(H439:H445)</f>
        <v>0</v>
      </c>
      <c r="I446" s="13">
        <f>SUM(I439:I445)</f>
        <v>517099.91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251057.55</v>
      </c>
      <c r="G459" s="18">
        <v>266042.36</v>
      </c>
      <c r="H459" s="18"/>
      <c r="I459" s="56">
        <f t="shared" si="34"/>
        <v>517099.91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251057.55</v>
      </c>
      <c r="G460" s="83">
        <f>SUM(G454:G459)</f>
        <v>266042.36</v>
      </c>
      <c r="H460" s="83">
        <f>SUM(H454:H459)</f>
        <v>0</v>
      </c>
      <c r="I460" s="83">
        <f>SUM(I454:I459)</f>
        <v>517099.91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251057.55</v>
      </c>
      <c r="G461" s="42">
        <f>G452+G460</f>
        <v>266042.36</v>
      </c>
      <c r="H461" s="42">
        <f>H452+H460</f>
        <v>0</v>
      </c>
      <c r="I461" s="42">
        <f>I452+I460</f>
        <v>517099.91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2021646.42</v>
      </c>
      <c r="G465" s="18">
        <v>271168.28999999998</v>
      </c>
      <c r="H465" s="18">
        <v>0</v>
      </c>
      <c r="I465" s="18">
        <v>12603675.67</v>
      </c>
      <c r="J465" s="18">
        <v>366909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27305792.300000001</v>
      </c>
      <c r="G468" s="18">
        <v>883721.81</v>
      </c>
      <c r="H468" s="18">
        <v>625676.62</v>
      </c>
      <c r="I468" s="18">
        <v>20251.810000000001</v>
      </c>
      <c r="J468" s="18">
        <v>150427.76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27305792.300000001</v>
      </c>
      <c r="G470" s="53">
        <f>SUM(G468:G469)</f>
        <v>883721.81</v>
      </c>
      <c r="H470" s="53">
        <f>SUM(H468:H469)</f>
        <v>625676.62</v>
      </c>
      <c r="I470" s="53">
        <f>SUM(I468:I469)</f>
        <v>20251.810000000001</v>
      </c>
      <c r="J470" s="53">
        <f>SUM(J468:J469)</f>
        <v>150427.76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27582018.280000001</v>
      </c>
      <c r="G472" s="18">
        <v>854186.06</v>
      </c>
      <c r="H472" s="18">
        <v>625676.62</v>
      </c>
      <c r="I472" s="18">
        <v>9549170.1899999995</v>
      </c>
      <c r="J472" s="18">
        <v>236.85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 t="s">
        <v>287</v>
      </c>
      <c r="G473" s="18" t="s">
        <v>287</v>
      </c>
      <c r="H473" s="18"/>
      <c r="I473" s="18" t="s">
        <v>287</v>
      </c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27582018.280000001</v>
      </c>
      <c r="G474" s="53">
        <f>SUM(G472:G473)</f>
        <v>854186.06</v>
      </c>
      <c r="H474" s="53">
        <f>SUM(H472:H473)</f>
        <v>625676.62</v>
      </c>
      <c r="I474" s="53">
        <f>SUM(I472:I473)</f>
        <v>9549170.1899999995</v>
      </c>
      <c r="J474" s="53">
        <f>SUM(J472:J473)</f>
        <v>236.85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1745420.4399999976</v>
      </c>
      <c r="G476" s="53">
        <f>(G465+G470)- G474</f>
        <v>300704.04000000004</v>
      </c>
      <c r="H476" s="53">
        <f>(H465+H470)- H474</f>
        <v>0</v>
      </c>
      <c r="I476" s="53">
        <f>(I465+I470)- I474</f>
        <v>3074757.290000001</v>
      </c>
      <c r="J476" s="53">
        <f>(J465+J470)- J474</f>
        <v>517099.91000000003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915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916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1100000</v>
      </c>
      <c r="G493" s="18">
        <v>20745000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2.67</v>
      </c>
      <c r="G494" s="18">
        <v>3.2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852119.53</v>
      </c>
      <c r="G495" s="18">
        <v>19705000</v>
      </c>
      <c r="H495" s="18"/>
      <c r="I495" s="18"/>
      <c r="J495" s="18"/>
      <c r="K495" s="53">
        <f>SUM(F495:J495)</f>
        <v>20557119.530000001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194218.41</v>
      </c>
      <c r="G497" s="18">
        <v>1040000</v>
      </c>
      <c r="H497" s="18"/>
      <c r="I497" s="18"/>
      <c r="J497" s="18"/>
      <c r="K497" s="53">
        <f t="shared" si="35"/>
        <v>1234218.4099999999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657871.12</v>
      </c>
      <c r="G498" s="204">
        <v>19705000</v>
      </c>
      <c r="H498" s="204"/>
      <c r="I498" s="204"/>
      <c r="J498" s="204"/>
      <c r="K498" s="205">
        <f t="shared" si="35"/>
        <v>20362871.120000001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37738.68</v>
      </c>
      <c r="G499" s="18">
        <v>7879852.5</v>
      </c>
      <c r="H499" s="18"/>
      <c r="I499" s="18"/>
      <c r="J499" s="18"/>
      <c r="K499" s="53">
        <f t="shared" si="35"/>
        <v>7917591.1799999997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695609.8</v>
      </c>
      <c r="G500" s="42">
        <f>SUM(G498:G499)</f>
        <v>27584852.5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28280462.300000001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199434.84</v>
      </c>
      <c r="G501" s="204">
        <v>1040000</v>
      </c>
      <c r="H501" s="204"/>
      <c r="I501" s="204"/>
      <c r="J501" s="204"/>
      <c r="K501" s="205">
        <f t="shared" si="35"/>
        <v>1239434.8400000001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17565.16</v>
      </c>
      <c r="G502" s="18">
        <v>854235</v>
      </c>
      <c r="H502" s="18"/>
      <c r="I502" s="18"/>
      <c r="J502" s="18"/>
      <c r="K502" s="53">
        <f t="shared" si="35"/>
        <v>871800.16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217000</v>
      </c>
      <c r="G503" s="42">
        <f>SUM(G501:G502)</f>
        <v>1894235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2111235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522581.82</v>
      </c>
      <c r="G507" s="144"/>
      <c r="H507" s="144"/>
      <c r="I507" s="144">
        <v>563920.6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1921053.18</v>
      </c>
      <c r="G521" s="18">
        <v>581830.69999999995</v>
      </c>
      <c r="H521" s="18">
        <v>1126721.69</v>
      </c>
      <c r="I521" s="18">
        <v>15305.57</v>
      </c>
      <c r="J521" s="18">
        <v>12618.13</v>
      </c>
      <c r="K521" s="18">
        <v>14489.22</v>
      </c>
      <c r="L521" s="88">
        <f>SUM(F521:K521)</f>
        <v>3672018.4899999998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785619.94</v>
      </c>
      <c r="G523" s="18">
        <v>232519.15</v>
      </c>
      <c r="H523" s="18">
        <v>606696.30000000005</v>
      </c>
      <c r="I523" s="18">
        <v>6498.7</v>
      </c>
      <c r="J523" s="18">
        <v>5970.06</v>
      </c>
      <c r="K523" s="18">
        <v>7801.89</v>
      </c>
      <c r="L523" s="88">
        <f>SUM(F523:K523)</f>
        <v>1645106.04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2706673.12</v>
      </c>
      <c r="G524" s="108">
        <f t="shared" ref="G524:L524" si="36">SUM(G521:G523)</f>
        <v>814349.85</v>
      </c>
      <c r="H524" s="108">
        <f t="shared" si="36"/>
        <v>1733417.99</v>
      </c>
      <c r="I524" s="108">
        <f t="shared" si="36"/>
        <v>21804.27</v>
      </c>
      <c r="J524" s="108">
        <f t="shared" si="36"/>
        <v>18588.189999999999</v>
      </c>
      <c r="K524" s="108">
        <f t="shared" si="36"/>
        <v>22291.11</v>
      </c>
      <c r="L524" s="89">
        <f t="shared" si="36"/>
        <v>5317124.5299999993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765194.2</v>
      </c>
      <c r="G526" s="18">
        <v>335323.21000000002</v>
      </c>
      <c r="H526" s="18">
        <v>80670.84</v>
      </c>
      <c r="I526" s="18">
        <v>17532.93</v>
      </c>
      <c r="J526" s="18">
        <v>934.53</v>
      </c>
      <c r="K526" s="18">
        <v>1190</v>
      </c>
      <c r="L526" s="88">
        <f>SUM(F526:K526)</f>
        <v>1200845.71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479088.54</v>
      </c>
      <c r="G528" s="18">
        <v>242733.05</v>
      </c>
      <c r="H528" s="18">
        <v>45259.08</v>
      </c>
      <c r="I528" s="18">
        <v>9580.68</v>
      </c>
      <c r="J528" s="18">
        <v>951.96</v>
      </c>
      <c r="K528" s="18">
        <v>910</v>
      </c>
      <c r="L528" s="88">
        <f>SUM(F528:K528)</f>
        <v>778523.30999999994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1244282.74</v>
      </c>
      <c r="G529" s="89">
        <f t="shared" ref="G529:L529" si="37">SUM(G526:G528)</f>
        <v>578056.26</v>
      </c>
      <c r="H529" s="89">
        <f t="shared" si="37"/>
        <v>125929.92</v>
      </c>
      <c r="I529" s="89">
        <f t="shared" si="37"/>
        <v>27113.61</v>
      </c>
      <c r="J529" s="89">
        <f t="shared" si="37"/>
        <v>1886.49</v>
      </c>
      <c r="K529" s="89">
        <f t="shared" si="37"/>
        <v>2100</v>
      </c>
      <c r="L529" s="89">
        <f t="shared" si="37"/>
        <v>1979369.02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98362.54</v>
      </c>
      <c r="G531" s="18">
        <v>36086.86</v>
      </c>
      <c r="H531" s="18">
        <v>1518.94</v>
      </c>
      <c r="I531" s="18">
        <v>107.09</v>
      </c>
      <c r="J531" s="18">
        <v>0</v>
      </c>
      <c r="K531" s="18">
        <v>915.74</v>
      </c>
      <c r="L531" s="88">
        <f>SUM(F531:K531)</f>
        <v>136991.16999999998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52964.45</v>
      </c>
      <c r="G533" s="18">
        <v>19431.39</v>
      </c>
      <c r="H533" s="18">
        <v>817.89</v>
      </c>
      <c r="I533" s="18">
        <v>57.66</v>
      </c>
      <c r="J533" s="18">
        <v>0</v>
      </c>
      <c r="K533" s="18">
        <v>493.09</v>
      </c>
      <c r="L533" s="88">
        <f>SUM(F533:K533)</f>
        <v>73764.479999999996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151326.99</v>
      </c>
      <c r="G534" s="89">
        <f t="shared" ref="G534:L534" si="38">SUM(G531:G533)</f>
        <v>55518.25</v>
      </c>
      <c r="H534" s="89">
        <f t="shared" si="38"/>
        <v>2336.83</v>
      </c>
      <c r="I534" s="89">
        <f t="shared" si="38"/>
        <v>164.75</v>
      </c>
      <c r="J534" s="89">
        <f t="shared" si="38"/>
        <v>0</v>
      </c>
      <c r="K534" s="89">
        <f t="shared" si="38"/>
        <v>1408.83</v>
      </c>
      <c r="L534" s="89">
        <f t="shared" si="38"/>
        <v>210755.64999999997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250765.41</v>
      </c>
      <c r="I541" s="18"/>
      <c r="J541" s="18"/>
      <c r="K541" s="18"/>
      <c r="L541" s="88">
        <f>SUM(F541:K541)</f>
        <v>250765.41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135027.53</v>
      </c>
      <c r="I543" s="18"/>
      <c r="J543" s="18"/>
      <c r="K543" s="18"/>
      <c r="L543" s="88">
        <f>SUM(F543:K543)</f>
        <v>135027.53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385792.94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385792.94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4102282.8500000006</v>
      </c>
      <c r="G545" s="89">
        <f t="shared" ref="G545:L545" si="41">G524+G529+G534+G539+G544</f>
        <v>1447924.3599999999</v>
      </c>
      <c r="H545" s="89">
        <f t="shared" si="41"/>
        <v>2247477.6800000002</v>
      </c>
      <c r="I545" s="89">
        <f t="shared" si="41"/>
        <v>49082.630000000005</v>
      </c>
      <c r="J545" s="89">
        <f t="shared" si="41"/>
        <v>20474.68</v>
      </c>
      <c r="K545" s="89">
        <f t="shared" si="41"/>
        <v>25799.940000000002</v>
      </c>
      <c r="L545" s="89">
        <f t="shared" si="41"/>
        <v>7893042.1399999997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3672018.4899999998</v>
      </c>
      <c r="G549" s="87">
        <f>L526</f>
        <v>1200845.71</v>
      </c>
      <c r="H549" s="87">
        <f>L531</f>
        <v>136991.16999999998</v>
      </c>
      <c r="I549" s="87">
        <f>L536</f>
        <v>0</v>
      </c>
      <c r="J549" s="87">
        <f>L541</f>
        <v>250765.41</v>
      </c>
      <c r="K549" s="87">
        <f>SUM(F549:J549)</f>
        <v>5260620.7799999993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1645106.04</v>
      </c>
      <c r="G551" s="87">
        <f>L528</f>
        <v>778523.30999999994</v>
      </c>
      <c r="H551" s="87">
        <f>L533</f>
        <v>73764.479999999996</v>
      </c>
      <c r="I551" s="87">
        <f>L538</f>
        <v>0</v>
      </c>
      <c r="J551" s="87">
        <f>L543</f>
        <v>135027.53</v>
      </c>
      <c r="K551" s="87">
        <f>SUM(F551:J551)</f>
        <v>2632421.36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5317124.5299999993</v>
      </c>
      <c r="G552" s="89">
        <f t="shared" si="42"/>
        <v>1979369.02</v>
      </c>
      <c r="H552" s="89">
        <f t="shared" si="42"/>
        <v>210755.64999999997</v>
      </c>
      <c r="I552" s="89">
        <f t="shared" si="42"/>
        <v>0</v>
      </c>
      <c r="J552" s="89">
        <f t="shared" si="42"/>
        <v>385792.94</v>
      </c>
      <c r="K552" s="89">
        <f t="shared" si="42"/>
        <v>7893042.1399999987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36751.589999999997</v>
      </c>
      <c r="G562" s="18">
        <v>24286.92</v>
      </c>
      <c r="H562" s="18"/>
      <c r="I562" s="18">
        <v>805.8</v>
      </c>
      <c r="J562" s="18"/>
      <c r="K562" s="18"/>
      <c r="L562" s="88">
        <f>SUM(F562:K562)</f>
        <v>61844.31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17294.86</v>
      </c>
      <c r="G564" s="18">
        <v>11429.14</v>
      </c>
      <c r="H564" s="18"/>
      <c r="I564" s="18">
        <v>379.2</v>
      </c>
      <c r="J564" s="18"/>
      <c r="K564" s="18"/>
      <c r="L564" s="88">
        <f>SUM(F564:K564)</f>
        <v>29103.200000000001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54046.45</v>
      </c>
      <c r="G565" s="89">
        <f t="shared" si="44"/>
        <v>35716.06</v>
      </c>
      <c r="H565" s="89">
        <f t="shared" si="44"/>
        <v>0</v>
      </c>
      <c r="I565" s="89">
        <f t="shared" si="44"/>
        <v>1185</v>
      </c>
      <c r="J565" s="89">
        <f t="shared" si="44"/>
        <v>0</v>
      </c>
      <c r="K565" s="89">
        <f t="shared" si="44"/>
        <v>0</v>
      </c>
      <c r="L565" s="89">
        <f t="shared" si="44"/>
        <v>90947.51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54046.45</v>
      </c>
      <c r="G571" s="89">
        <f t="shared" ref="G571:L571" si="46">G560+G565+G570</f>
        <v>35716.06</v>
      </c>
      <c r="H571" s="89">
        <f t="shared" si="46"/>
        <v>0</v>
      </c>
      <c r="I571" s="89">
        <f t="shared" si="46"/>
        <v>1185</v>
      </c>
      <c r="J571" s="89">
        <f t="shared" si="46"/>
        <v>0</v>
      </c>
      <c r="K571" s="89">
        <f t="shared" si="46"/>
        <v>0</v>
      </c>
      <c r="L571" s="89">
        <f t="shared" si="46"/>
        <v>90947.51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14738</v>
      </c>
      <c r="I575" s="87">
        <f>SUM(F575:H575)</f>
        <v>14738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 t="s">
        <v>287</v>
      </c>
      <c r="G578" s="18"/>
      <c r="H578" s="18" t="s">
        <v>287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18829.849999999999</v>
      </c>
      <c r="G579" s="18"/>
      <c r="H579" s="18"/>
      <c r="I579" s="87">
        <f t="shared" si="47"/>
        <v>18829.849999999999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525528.51</v>
      </c>
      <c r="G582" s="18"/>
      <c r="H582" s="18">
        <v>299218.90000000002</v>
      </c>
      <c r="I582" s="87">
        <f t="shared" si="47"/>
        <v>824747.41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309658.84999999998</v>
      </c>
      <c r="G583" s="18"/>
      <c r="H583" s="18">
        <v>422418.47</v>
      </c>
      <c r="I583" s="87">
        <f t="shared" si="47"/>
        <v>732077.32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124590.41</v>
      </c>
      <c r="I584" s="87">
        <f t="shared" si="47"/>
        <v>124590.41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662941.28</v>
      </c>
      <c r="I591" s="18"/>
      <c r="J591" s="18">
        <v>311972.36</v>
      </c>
      <c r="K591" s="104">
        <f t="shared" ref="K591:K597" si="48">SUM(H591:J591)</f>
        <v>974913.64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250765.41</v>
      </c>
      <c r="I592" s="18"/>
      <c r="J592" s="18">
        <v>135027.53</v>
      </c>
      <c r="K592" s="104">
        <f t="shared" si="48"/>
        <v>385792.94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115878.64</v>
      </c>
      <c r="K593" s="104">
        <f t="shared" si="48"/>
        <v>115878.64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19735.189999999999</v>
      </c>
      <c r="I594" s="18"/>
      <c r="J594" s="18">
        <v>72814.22</v>
      </c>
      <c r="K594" s="104">
        <f t="shared" si="48"/>
        <v>92549.41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1268.6099999999999</v>
      </c>
      <c r="K595" s="104">
        <f t="shared" si="48"/>
        <v>1268.6099999999999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933441.88</v>
      </c>
      <c r="I598" s="108">
        <f>SUM(I591:I597)</f>
        <v>0</v>
      </c>
      <c r="J598" s="108">
        <f>SUM(J591:J597)</f>
        <v>636961.36</v>
      </c>
      <c r="K598" s="108">
        <f>SUM(K591:K597)</f>
        <v>1570403.24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209480.09</v>
      </c>
      <c r="I604" s="18"/>
      <c r="J604" s="18">
        <v>259370.59</v>
      </c>
      <c r="K604" s="104">
        <f>SUM(H604:J604)</f>
        <v>468850.68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209480.09</v>
      </c>
      <c r="I605" s="108">
        <f>SUM(I602:I604)</f>
        <v>0</v>
      </c>
      <c r="J605" s="108">
        <f>SUM(J602:J604)</f>
        <v>259370.59</v>
      </c>
      <c r="K605" s="108">
        <f>SUM(K602:K604)</f>
        <v>468850.68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62722.48</v>
      </c>
      <c r="G611" s="18">
        <v>9532.0300000000007</v>
      </c>
      <c r="H611" s="18">
        <v>50511.7</v>
      </c>
      <c r="I611" s="18">
        <v>598.02</v>
      </c>
      <c r="J611" s="18"/>
      <c r="K611" s="18"/>
      <c r="L611" s="88">
        <f>SUM(F611:K611)</f>
        <v>123364.23000000001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33773.65</v>
      </c>
      <c r="G613" s="18">
        <v>5132.63</v>
      </c>
      <c r="H613" s="18">
        <v>27198.6</v>
      </c>
      <c r="I613" s="18">
        <v>322.01</v>
      </c>
      <c r="J613" s="18"/>
      <c r="K613" s="18"/>
      <c r="L613" s="88">
        <f>SUM(F613:K613)</f>
        <v>66426.89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96496.13</v>
      </c>
      <c r="G614" s="108">
        <f t="shared" si="49"/>
        <v>14664.66</v>
      </c>
      <c r="H614" s="108">
        <f t="shared" si="49"/>
        <v>77710.299999999988</v>
      </c>
      <c r="I614" s="108">
        <f t="shared" si="49"/>
        <v>920.03</v>
      </c>
      <c r="J614" s="108">
        <f t="shared" si="49"/>
        <v>0</v>
      </c>
      <c r="K614" s="108">
        <f t="shared" si="49"/>
        <v>0</v>
      </c>
      <c r="L614" s="89">
        <f t="shared" si="49"/>
        <v>189791.12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2240306.83</v>
      </c>
      <c r="H617" s="109">
        <f>SUM(F52)</f>
        <v>2240306.83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320183.87999999995</v>
      </c>
      <c r="H618" s="109">
        <f>SUM(G52)</f>
        <v>320183.88000000006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161778.89000000001</v>
      </c>
      <c r="H619" s="109">
        <f>SUM(H52)</f>
        <v>161778.89000000001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4939585.3600000003</v>
      </c>
      <c r="H620" s="109">
        <f>SUM(I52)</f>
        <v>4939585.3600000003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517099.91</v>
      </c>
      <c r="H621" s="109">
        <f>SUM(J52)</f>
        <v>517099.91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1745420.44</v>
      </c>
      <c r="H622" s="109">
        <f>F476</f>
        <v>1745420.4399999976</v>
      </c>
      <c r="I622" s="121" t="s">
        <v>101</v>
      </c>
      <c r="J622" s="109">
        <f t="shared" ref="J622:J655" si="50">G622-H622</f>
        <v>2.3283064365386963E-9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300704.04000000004</v>
      </c>
      <c r="H623" s="109">
        <f>G476</f>
        <v>300704.04000000004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3074757.29</v>
      </c>
      <c r="H625" s="109">
        <f>I476</f>
        <v>3074757.290000001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517099.91</v>
      </c>
      <c r="H626" s="109">
        <f>J476</f>
        <v>517099.91000000003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27305792.300000001</v>
      </c>
      <c r="H627" s="104">
        <f>SUM(F468)</f>
        <v>27305792.300000001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883721.81</v>
      </c>
      <c r="H628" s="104">
        <f>SUM(G468)</f>
        <v>883721.81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625676.62</v>
      </c>
      <c r="H629" s="104">
        <f>SUM(H468)</f>
        <v>625676.62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20251.810000000001</v>
      </c>
      <c r="H630" s="104">
        <f>SUM(I468)</f>
        <v>20251.810000000001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150427.76</v>
      </c>
      <c r="H631" s="104">
        <f>SUM(J468)</f>
        <v>150427.76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27582018.279999997</v>
      </c>
      <c r="H632" s="104">
        <f>SUM(F472)</f>
        <v>27582018.280000001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625676.62000000011</v>
      </c>
      <c r="H633" s="104">
        <f>SUM(H472)</f>
        <v>625676.62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438846.37</v>
      </c>
      <c r="H634" s="104">
        <f>I369</f>
        <v>438846.37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854186.06</v>
      </c>
      <c r="H635" s="104">
        <f>SUM(G472)</f>
        <v>854186.06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9549170.1899999995</v>
      </c>
      <c r="H636" s="104">
        <f>SUM(I472)</f>
        <v>9549170.1899999995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150427.76</v>
      </c>
      <c r="H637" s="164">
        <f>SUM(J468)</f>
        <v>150427.76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236.85</v>
      </c>
      <c r="H638" s="164">
        <f>SUM(J472)</f>
        <v>236.85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251057.55</v>
      </c>
      <c r="H639" s="104">
        <f>SUM(F461)</f>
        <v>251057.55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266042.36</v>
      </c>
      <c r="H640" s="104">
        <f>SUM(G461)</f>
        <v>266042.36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517099.91</v>
      </c>
      <c r="H642" s="104">
        <f>SUM(I461)</f>
        <v>517099.91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427.76</v>
      </c>
      <c r="H644" s="104">
        <f>H408</f>
        <v>427.76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150000</v>
      </c>
      <c r="H645" s="104">
        <f>G408</f>
        <v>150000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150427.76</v>
      </c>
      <c r="H646" s="104">
        <f>L408</f>
        <v>150427.76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1570403.24</v>
      </c>
      <c r="H647" s="104">
        <f>L208+L226+L244</f>
        <v>1570403.24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468850.68</v>
      </c>
      <c r="H648" s="104">
        <f>(J257+J338)-(J255+J336)</f>
        <v>468850.67999999993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933441.88</v>
      </c>
      <c r="H649" s="104">
        <f>H598</f>
        <v>933441.88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636961.36</v>
      </c>
      <c r="H651" s="104">
        <f>J598</f>
        <v>636961.36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150000</v>
      </c>
      <c r="H655" s="104">
        <f>K266+K347</f>
        <v>150000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16436435.689999999</v>
      </c>
      <c r="G660" s="19">
        <f>(L229+L309+L359)</f>
        <v>0</v>
      </c>
      <c r="H660" s="19">
        <f>(L247+L328+L360)</f>
        <v>10171246.329999998</v>
      </c>
      <c r="I660" s="19">
        <f>SUM(F660:H660)</f>
        <v>26607682.019999996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459071.78366862598</v>
      </c>
      <c r="G661" s="19">
        <f>(L359/IF(SUM(L358:L360)=0,1,SUM(L358:L360))*(SUM(G97:G110)))</f>
        <v>0</v>
      </c>
      <c r="H661" s="19">
        <f>(L360/IF(SUM(L358:L360)=0,1,SUM(L358:L360))*(SUM(G97:G110)))</f>
        <v>213812.00633137397</v>
      </c>
      <c r="I661" s="19">
        <f>SUM(F661:H661)</f>
        <v>672883.78999999992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933441.88</v>
      </c>
      <c r="G662" s="19">
        <f>(L226+L306)-(J226+J306)</f>
        <v>0</v>
      </c>
      <c r="H662" s="19">
        <f>(L244+L325)-(J244+J325)</f>
        <v>636961.36</v>
      </c>
      <c r="I662" s="19">
        <f>SUM(F662:H662)</f>
        <v>1570403.24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1186861.53</v>
      </c>
      <c r="G663" s="199">
        <f>SUM(G575:G587)+SUM(I602:I604)+L612</f>
        <v>0</v>
      </c>
      <c r="H663" s="199">
        <f>SUM(H575:H587)+SUM(J602:J604)+L613</f>
        <v>1186763.26</v>
      </c>
      <c r="I663" s="19">
        <f>SUM(F663:H663)</f>
        <v>2373624.79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13857060.496331373</v>
      </c>
      <c r="G664" s="19">
        <f>G660-SUM(G661:G663)</f>
        <v>0</v>
      </c>
      <c r="H664" s="19">
        <f>H660-SUM(H661:H663)</f>
        <v>8133709.7036686242</v>
      </c>
      <c r="I664" s="19">
        <f>I660-SUM(I661:I663)</f>
        <v>21990770.199999996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1295.21</v>
      </c>
      <c r="G665" s="248">
        <v>0</v>
      </c>
      <c r="H665" s="248">
        <v>615.98</v>
      </c>
      <c r="I665" s="19">
        <f>SUM(F665:H665)</f>
        <v>1911.19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10698.7</v>
      </c>
      <c r="G667" s="19" t="e">
        <f>ROUND(G664/G665,2)</f>
        <v>#DIV/0!</v>
      </c>
      <c r="H667" s="19">
        <f>ROUND(H664/H665,2)</f>
        <v>13204.5</v>
      </c>
      <c r="I667" s="19">
        <f>ROUND(I664/I665,2)</f>
        <v>11506.32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-13.23</v>
      </c>
      <c r="I670" s="19">
        <f>SUM(F670:H670)</f>
        <v>-13.23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10698.7</v>
      </c>
      <c r="G672" s="19" t="e">
        <f>ROUND((G664+G669)/(G665+G670),2)</f>
        <v>#DIV/0!</v>
      </c>
      <c r="H672" s="19">
        <f>ROUND((H664+H669)/(H665+H670),2)</f>
        <v>13494.33</v>
      </c>
      <c r="I672" s="19">
        <f>ROUND((I664+I669)/(I665+I670),2)</f>
        <v>11586.53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PELHAM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6221430.8300000001</v>
      </c>
      <c r="C9" s="229">
        <f>'DOE25'!G197+'DOE25'!G215+'DOE25'!G233+'DOE25'!G276+'DOE25'!G295+'DOE25'!G314</f>
        <v>2972676.3900000006</v>
      </c>
    </row>
    <row r="10" spans="1:3" x14ac:dyDescent="0.2">
      <c r="A10" t="s">
        <v>779</v>
      </c>
      <c r="B10" s="240">
        <v>5962772.1399999997</v>
      </c>
      <c r="C10" s="240">
        <v>2952863.14</v>
      </c>
    </row>
    <row r="11" spans="1:3" x14ac:dyDescent="0.2">
      <c r="A11" t="s">
        <v>780</v>
      </c>
      <c r="B11" s="240">
        <v>159483.82999999999</v>
      </c>
      <c r="C11" s="240">
        <v>12216.46</v>
      </c>
    </row>
    <row r="12" spans="1:3" x14ac:dyDescent="0.2">
      <c r="A12" t="s">
        <v>781</v>
      </c>
      <c r="B12" s="240">
        <v>99174.86</v>
      </c>
      <c r="C12" s="240">
        <v>7596.79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6221430.8300000001</v>
      </c>
      <c r="C13" s="231">
        <f>SUM(C10:C12)</f>
        <v>2972676.39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2706673.12</v>
      </c>
      <c r="C18" s="229">
        <f>'DOE25'!G198+'DOE25'!G216+'DOE25'!G234+'DOE25'!G277+'DOE25'!G296+'DOE25'!G315</f>
        <v>814349.85</v>
      </c>
    </row>
    <row r="19" spans="1:3" x14ac:dyDescent="0.2">
      <c r="A19" t="s">
        <v>779</v>
      </c>
      <c r="B19" s="240">
        <v>1418683.5</v>
      </c>
      <c r="C19" s="240">
        <v>626029.86</v>
      </c>
    </row>
    <row r="20" spans="1:3" x14ac:dyDescent="0.2">
      <c r="A20" t="s">
        <v>780</v>
      </c>
      <c r="B20" s="240">
        <v>1259387.8500000001</v>
      </c>
      <c r="C20" s="240">
        <v>186129.09</v>
      </c>
    </row>
    <row r="21" spans="1:3" x14ac:dyDescent="0.2">
      <c r="A21" t="s">
        <v>781</v>
      </c>
      <c r="B21" s="240">
        <v>28601.77</v>
      </c>
      <c r="C21" s="240">
        <v>2190.9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2706673.12</v>
      </c>
      <c r="C22" s="231">
        <f>SUM(C19:C21)</f>
        <v>814349.85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362174.75</v>
      </c>
      <c r="C36" s="235">
        <f>'DOE25'!G200+'DOE25'!G218+'DOE25'!G236+'DOE25'!G279+'DOE25'!G298+'DOE25'!G317</f>
        <v>123321.83</v>
      </c>
    </row>
    <row r="37" spans="1:3" x14ac:dyDescent="0.2">
      <c r="A37" t="s">
        <v>779</v>
      </c>
      <c r="B37" s="240">
        <v>275996.05</v>
      </c>
      <c r="C37" s="240">
        <v>116720.54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86178.7</v>
      </c>
      <c r="C39" s="240">
        <v>6601.29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362174.75</v>
      </c>
      <c r="C40" s="231">
        <f>SUM(C37:C39)</f>
        <v>123321.82999999999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13" sqref="F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PELHAM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15212749.620000001</v>
      </c>
      <c r="D5" s="20">
        <f>SUM('DOE25'!L197:L200)+SUM('DOE25'!L215:L218)+SUM('DOE25'!L233:L236)-F5-G5</f>
        <v>14983040.380000003</v>
      </c>
      <c r="E5" s="243"/>
      <c r="F5" s="255">
        <f>SUM('DOE25'!J197:J200)+SUM('DOE25'!J215:J218)+SUM('DOE25'!J233:J236)</f>
        <v>186317.04</v>
      </c>
      <c r="G5" s="53">
        <f>SUM('DOE25'!K197:K200)+SUM('DOE25'!K215:K218)+SUM('DOE25'!K233:K236)</f>
        <v>43392.200000000004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1979369.02</v>
      </c>
      <c r="D6" s="20">
        <f>'DOE25'!L202+'DOE25'!L220+'DOE25'!L238-F6-G6</f>
        <v>1975382.53</v>
      </c>
      <c r="E6" s="243"/>
      <c r="F6" s="255">
        <f>'DOE25'!J202+'DOE25'!J220+'DOE25'!J238</f>
        <v>1886.49</v>
      </c>
      <c r="G6" s="53">
        <f>'DOE25'!K202+'DOE25'!K220+'DOE25'!K238</f>
        <v>2100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797613.84000000008</v>
      </c>
      <c r="D7" s="20">
        <f>'DOE25'!L203+'DOE25'!L221+'DOE25'!L239-F7-G7</f>
        <v>711335.55</v>
      </c>
      <c r="E7" s="243"/>
      <c r="F7" s="255">
        <f>'DOE25'!J203+'DOE25'!J221+'DOE25'!J239</f>
        <v>80803.239999999991</v>
      </c>
      <c r="G7" s="53">
        <f>'DOE25'!K203+'DOE25'!K221+'DOE25'!K239</f>
        <v>5475.05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230105.66000000012</v>
      </c>
      <c r="D8" s="243"/>
      <c r="E8" s="20">
        <f>'DOE25'!L204+'DOE25'!L222+'DOE25'!L240-F8-G8-D9-D11</f>
        <v>212230.39000000013</v>
      </c>
      <c r="F8" s="255">
        <f>'DOE25'!J204+'DOE25'!J222+'DOE25'!J240</f>
        <v>222.33</v>
      </c>
      <c r="G8" s="53">
        <f>'DOE25'!K204+'DOE25'!K222+'DOE25'!K240</f>
        <v>17652.940000000002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70789.429999999993</v>
      </c>
      <c r="D9" s="244">
        <v>70789.429999999993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19350</v>
      </c>
      <c r="D10" s="243"/>
      <c r="E10" s="244">
        <v>19350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313821</v>
      </c>
      <c r="D11" s="244">
        <v>313821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1471209.11</v>
      </c>
      <c r="D12" s="20">
        <f>'DOE25'!L205+'DOE25'!L223+'DOE25'!L241-F12-G12</f>
        <v>1449652.35</v>
      </c>
      <c r="E12" s="243"/>
      <c r="F12" s="255">
        <f>'DOE25'!J205+'DOE25'!J223+'DOE25'!J241</f>
        <v>2034.85</v>
      </c>
      <c r="G12" s="53">
        <f>'DOE25'!K205+'DOE25'!K223+'DOE25'!K241</f>
        <v>19521.91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377348.9</v>
      </c>
      <c r="D13" s="243"/>
      <c r="E13" s="20">
        <f>'DOE25'!L206+'DOE25'!L224+'DOE25'!L242-F13-G13</f>
        <v>373793.25</v>
      </c>
      <c r="F13" s="255">
        <f>'DOE25'!J206+'DOE25'!J224+'DOE25'!J242</f>
        <v>0</v>
      </c>
      <c r="G13" s="53">
        <f>'DOE25'!K206+'DOE25'!K224+'DOE25'!K242</f>
        <v>3555.6499999999996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2225124.91</v>
      </c>
      <c r="D14" s="20">
        <f>'DOE25'!L207+'DOE25'!L225+'DOE25'!L243-F14-G14</f>
        <v>2144332.9000000004</v>
      </c>
      <c r="E14" s="243"/>
      <c r="F14" s="255">
        <f>'DOE25'!J207+'DOE25'!J225+'DOE25'!J243</f>
        <v>80627.009999999995</v>
      </c>
      <c r="G14" s="53">
        <f>'DOE25'!K207+'DOE25'!K225+'DOE25'!K243</f>
        <v>165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1570403.24</v>
      </c>
      <c r="D15" s="20">
        <f>'DOE25'!L208+'DOE25'!L226+'DOE25'!L244-F15-G15</f>
        <v>1570403.24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879284.6100000001</v>
      </c>
      <c r="D16" s="243"/>
      <c r="E16" s="20">
        <f>'DOE25'!L209+'DOE25'!L227+'DOE25'!L245-F16-G16</f>
        <v>770746.24000000011</v>
      </c>
      <c r="F16" s="255">
        <f>'DOE25'!J209+'DOE25'!J227+'DOE25'!J245</f>
        <v>108133.37</v>
      </c>
      <c r="G16" s="53">
        <f>'DOE25'!K209+'DOE25'!K227+'DOE25'!K245</f>
        <v>405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356923.94</v>
      </c>
      <c r="D22" s="243"/>
      <c r="E22" s="243"/>
      <c r="F22" s="255">
        <f>'DOE25'!L255+'DOE25'!L336</f>
        <v>356923.94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1947275</v>
      </c>
      <c r="D25" s="243"/>
      <c r="E25" s="243"/>
      <c r="F25" s="258"/>
      <c r="G25" s="256"/>
      <c r="H25" s="257">
        <f>'DOE25'!L260+'DOE25'!L261+'DOE25'!L341+'DOE25'!L342</f>
        <v>1947275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506291.63000000006</v>
      </c>
      <c r="D29" s="20">
        <f>'DOE25'!L358+'DOE25'!L359+'DOE25'!L360-'DOE25'!I367-F29-G29</f>
        <v>503769.00000000006</v>
      </c>
      <c r="E29" s="243"/>
      <c r="F29" s="255">
        <f>'DOE25'!J358+'DOE25'!J359+'DOE25'!J360</f>
        <v>1876.13</v>
      </c>
      <c r="G29" s="53">
        <f>'DOE25'!K358+'DOE25'!K359+'DOE25'!K360</f>
        <v>646.5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625676.62000000011</v>
      </c>
      <c r="D31" s="20">
        <f>'DOE25'!L290+'DOE25'!L309+'DOE25'!L328+'DOE25'!L333+'DOE25'!L334+'DOE25'!L335-F31-G31</f>
        <v>614732.69000000018</v>
      </c>
      <c r="E31" s="243"/>
      <c r="F31" s="255">
        <f>'DOE25'!J290+'DOE25'!J309+'DOE25'!J328+'DOE25'!J333+'DOE25'!J334+'DOE25'!J335</f>
        <v>8826.35</v>
      </c>
      <c r="G31" s="53">
        <f>'DOE25'!K290+'DOE25'!K309+'DOE25'!K328+'DOE25'!K333+'DOE25'!K334+'DOE25'!K335</f>
        <v>2117.58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24337259.070000008</v>
      </c>
      <c r="E33" s="246">
        <f>SUM(E5:E31)</f>
        <v>1376119.8800000004</v>
      </c>
      <c r="F33" s="246">
        <f>SUM(F5:F31)</f>
        <v>827650.75</v>
      </c>
      <c r="G33" s="246">
        <f>SUM(G5:G31)</f>
        <v>95031.83</v>
      </c>
      <c r="H33" s="246">
        <f>SUM(H5:H31)</f>
        <v>1947275</v>
      </c>
    </row>
    <row r="35" spans="2:8" ht="12" thickBot="1" x14ac:dyDescent="0.25">
      <c r="B35" s="253" t="s">
        <v>847</v>
      </c>
      <c r="D35" s="254">
        <f>E33</f>
        <v>1376119.8800000004</v>
      </c>
      <c r="E35" s="249"/>
    </row>
    <row r="36" spans="2:8" ht="12" thickTop="1" x14ac:dyDescent="0.2">
      <c r="B36" t="s">
        <v>815</v>
      </c>
      <c r="D36" s="20">
        <f>D33</f>
        <v>24337259.070000008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2" sqref="A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PELHAM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2047793.07</v>
      </c>
      <c r="D8" s="95">
        <f>'DOE25'!G9</f>
        <v>310648.98</v>
      </c>
      <c r="E8" s="95">
        <f>'DOE25'!H9</f>
        <v>5919.75</v>
      </c>
      <c r="F8" s="95">
        <f>'DOE25'!I9</f>
        <v>4939585.3600000003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155515.82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28625.39</v>
      </c>
      <c r="D12" s="95">
        <f>'DOE25'!G13</f>
        <v>9510.67</v>
      </c>
      <c r="E12" s="95">
        <f>'DOE25'!H13</f>
        <v>155859.14000000001</v>
      </c>
      <c r="F12" s="95">
        <f>'DOE25'!I13</f>
        <v>0</v>
      </c>
      <c r="G12" s="95">
        <f>'DOE25'!J13</f>
        <v>517099.91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3537.54</v>
      </c>
      <c r="D13" s="95">
        <f>'DOE25'!G14</f>
        <v>24.23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4835.01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2240306.83</v>
      </c>
      <c r="D18" s="41">
        <f>SUM(D8:D17)</f>
        <v>320183.87999999995</v>
      </c>
      <c r="E18" s="41">
        <f>SUM(E8:E17)</f>
        <v>161778.89000000001</v>
      </c>
      <c r="F18" s="41">
        <f>SUM(F8:F17)</f>
        <v>4939585.3600000003</v>
      </c>
      <c r="G18" s="41">
        <f>SUM(G8:G17)</f>
        <v>517099.91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-738.12</v>
      </c>
      <c r="D21" s="95">
        <f>'DOE25'!G22</f>
        <v>394.8</v>
      </c>
      <c r="E21" s="95">
        <f>'DOE25'!H22</f>
        <v>155859.14000000001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6296.34</v>
      </c>
      <c r="D23" s="95">
        <f>'DOE25'!G24</f>
        <v>0</v>
      </c>
      <c r="E23" s="95">
        <f>'DOE25'!H24</f>
        <v>0</v>
      </c>
      <c r="F23" s="95" t="str">
        <f>'DOE25'!I24</f>
        <v xml:space="preserve"> 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1864828.07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45809.96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443518.21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19085.04</v>
      </c>
      <c r="E29" s="95">
        <f>'DOE25'!H30</f>
        <v>5919.75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494886.39</v>
      </c>
      <c r="D31" s="41">
        <f>SUM(D21:D30)</f>
        <v>19479.84</v>
      </c>
      <c r="E31" s="41">
        <f>SUM(E21:E30)</f>
        <v>161778.89000000001</v>
      </c>
      <c r="F31" s="41">
        <f>SUM(F21:F30)</f>
        <v>1864828.07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67802.649999999994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220587.04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2813635.74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 t="str">
        <f>'DOE25'!H48</f>
        <v xml:space="preserve"> </v>
      </c>
      <c r="F47" s="95">
        <f>'DOE25'!I48</f>
        <v>193318.9</v>
      </c>
      <c r="G47" s="95">
        <f>'DOE25'!J48</f>
        <v>517099.91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248094.64</v>
      </c>
      <c r="D48" s="95">
        <f>'DOE25'!G49</f>
        <v>80117</v>
      </c>
      <c r="E48" s="95" t="str">
        <f>'DOE25'!H49</f>
        <v xml:space="preserve"> 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1497325.8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1745420.44</v>
      </c>
      <c r="D50" s="41">
        <f>SUM(D34:D49)</f>
        <v>300704.04000000004</v>
      </c>
      <c r="E50" s="41">
        <f>SUM(E34:E49)</f>
        <v>0</v>
      </c>
      <c r="F50" s="41">
        <f>SUM(F34:F49)</f>
        <v>3074757.29</v>
      </c>
      <c r="G50" s="41">
        <f>SUM(G34:G49)</f>
        <v>517099.91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2240306.83</v>
      </c>
      <c r="D51" s="41">
        <f>D50+D31</f>
        <v>320183.88000000006</v>
      </c>
      <c r="E51" s="41">
        <f>E50+E31</f>
        <v>161778.89000000001</v>
      </c>
      <c r="F51" s="41">
        <f>F50+F31</f>
        <v>4939585.3600000003</v>
      </c>
      <c r="G51" s="41">
        <f>G50+G31</f>
        <v>517099.91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18273047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54246.89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543.24</v>
      </c>
      <c r="D59" s="95">
        <f>'DOE25'!G96</f>
        <v>0</v>
      </c>
      <c r="E59" s="95">
        <f>'DOE25'!H96</f>
        <v>0</v>
      </c>
      <c r="F59" s="95">
        <f>'DOE25'!I96</f>
        <v>20251.810000000001</v>
      </c>
      <c r="G59" s="95">
        <f>'DOE25'!J96</f>
        <v>427.76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671601.16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422462.99</v>
      </c>
      <c r="D61" s="95">
        <f>SUM('DOE25'!G98:G110)</f>
        <v>1282.6300000000001</v>
      </c>
      <c r="E61" s="95">
        <f>SUM('DOE25'!H98:H110)</f>
        <v>2367.58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477253.12</v>
      </c>
      <c r="D62" s="130">
        <f>SUM(D57:D61)</f>
        <v>672883.79</v>
      </c>
      <c r="E62" s="130">
        <f>SUM(E57:E61)</f>
        <v>2367.58</v>
      </c>
      <c r="F62" s="130">
        <f>SUM(F57:F61)</f>
        <v>20251.810000000001</v>
      </c>
      <c r="G62" s="130">
        <f>SUM(G57:G61)</f>
        <v>427.76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18750300.120000001</v>
      </c>
      <c r="D63" s="22">
        <f>D56+D62</f>
        <v>672883.79</v>
      </c>
      <c r="E63" s="22">
        <f>E56+E62</f>
        <v>2367.58</v>
      </c>
      <c r="F63" s="22">
        <f>F56+F62</f>
        <v>20251.810000000001</v>
      </c>
      <c r="G63" s="22">
        <f>G56+G62</f>
        <v>427.76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4522177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3384554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7906731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436234.31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18476.8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11226.23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454711.11</v>
      </c>
      <c r="D78" s="130">
        <f>SUM(D72:D77)</f>
        <v>11226.23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8361442.1100000003</v>
      </c>
      <c r="D81" s="130">
        <f>SUM(D79:D80)+D78+D70</f>
        <v>11226.23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194050.07</v>
      </c>
      <c r="D88" s="95">
        <f>SUM('DOE25'!G153:G161)</f>
        <v>199611.79</v>
      </c>
      <c r="E88" s="95">
        <f>SUM('DOE25'!H153:H161)</f>
        <v>623137.04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172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194050.07</v>
      </c>
      <c r="D91" s="131">
        <f>SUM(D85:D90)</f>
        <v>199611.79</v>
      </c>
      <c r="E91" s="131">
        <f>SUM(E85:E90)</f>
        <v>623309.04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150000</v>
      </c>
    </row>
    <row r="104" spans="1:7" ht="12.75" thickTop="1" thickBot="1" x14ac:dyDescent="0.25">
      <c r="A104" s="33" t="s">
        <v>765</v>
      </c>
      <c r="C104" s="86">
        <f>C63+C81+C91+C103</f>
        <v>27305792.300000001</v>
      </c>
      <c r="D104" s="86">
        <f>D63+D81+D91+D103</f>
        <v>883721.81</v>
      </c>
      <c r="E104" s="86">
        <f>E63+E81+E91+E103</f>
        <v>625676.62</v>
      </c>
      <c r="F104" s="86">
        <f>F63+F81+F91+F103</f>
        <v>20251.810000000001</v>
      </c>
      <c r="G104" s="86">
        <f>G63+G81+G103</f>
        <v>150427.76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9554676.2699999996</v>
      </c>
      <c r="D109" s="24" t="s">
        <v>289</v>
      </c>
      <c r="E109" s="95">
        <f>('DOE25'!L276)+('DOE25'!L295)+('DOE25'!L314)</f>
        <v>128503.26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4900922.5699999994</v>
      </c>
      <c r="D110" s="24" t="s">
        <v>289</v>
      </c>
      <c r="E110" s="95">
        <f>('DOE25'!L277)+('DOE25'!L296)+('DOE25'!L315)</f>
        <v>416201.95000000007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124590.41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632560.37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15212749.619999999</v>
      </c>
      <c r="D115" s="86">
        <f>SUM(D109:D114)</f>
        <v>0</v>
      </c>
      <c r="E115" s="86">
        <f>SUM(E109:E114)</f>
        <v>544705.21000000008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1979369.02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797613.84000000008</v>
      </c>
      <c r="D119" s="24" t="s">
        <v>289</v>
      </c>
      <c r="E119" s="95">
        <f>+('DOE25'!L282)+('DOE25'!L301)+('DOE25'!L320)</f>
        <v>79672.049999999988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614716.09000000008</v>
      </c>
      <c r="D120" s="24" t="s">
        <v>289</v>
      </c>
      <c r="E120" s="95">
        <f>+('DOE25'!L283)+('DOE25'!L302)+('DOE25'!L321)</f>
        <v>250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1471209.11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377348.9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2225124.91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1570403.24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879284.6100000001</v>
      </c>
      <c r="D125" s="24" t="s">
        <v>289</v>
      </c>
      <c r="E125" s="95">
        <f>+('DOE25'!L288)+('DOE25'!L307)+('DOE25'!L326)</f>
        <v>1049.3600000000001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854186.06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9915069.7200000007</v>
      </c>
      <c r="D128" s="86">
        <f>SUM(D118:D127)</f>
        <v>854186.06</v>
      </c>
      <c r="E128" s="86">
        <f>SUM(E118:E127)</f>
        <v>80971.409999999989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356923.94</v>
      </c>
      <c r="D130" s="24" t="s">
        <v>289</v>
      </c>
      <c r="E130" s="129">
        <f>'DOE25'!L336</f>
        <v>0</v>
      </c>
      <c r="F130" s="129">
        <f>SUM('DOE25'!L374:'DOE25'!L380)</f>
        <v>9549170.1899999995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1040000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907275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236.85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38.840000000000003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150388.92000000001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-427.76000000000931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2454198.9399999995</v>
      </c>
      <c r="D144" s="141">
        <f>SUM(D130:D143)</f>
        <v>0</v>
      </c>
      <c r="E144" s="141">
        <f>SUM(E130:E143)</f>
        <v>0</v>
      </c>
      <c r="F144" s="141">
        <f>SUM(F130:F143)</f>
        <v>9549170.1899999995</v>
      </c>
      <c r="G144" s="141">
        <f>SUM(G130:G143)</f>
        <v>236.85</v>
      </c>
    </row>
    <row r="145" spans="1:9" ht="12.75" thickTop="1" thickBot="1" x14ac:dyDescent="0.25">
      <c r="A145" s="33" t="s">
        <v>244</v>
      </c>
      <c r="C145" s="86">
        <f>(C115+C128+C144)</f>
        <v>27582018.280000001</v>
      </c>
      <c r="D145" s="86">
        <f>(D115+D128+D144)</f>
        <v>854186.06</v>
      </c>
      <c r="E145" s="86">
        <f>(E115+E128+E144)</f>
        <v>625676.62000000011</v>
      </c>
      <c r="F145" s="86">
        <f>(F115+F128+F144)</f>
        <v>9549170.1899999995</v>
      </c>
      <c r="G145" s="86">
        <f>(G115+G128+G144)</f>
        <v>236.85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4/2014</v>
      </c>
      <c r="C152" s="152" t="str">
        <f>'DOE25'!G491</f>
        <v>7/2014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7/2019</v>
      </c>
      <c r="C153" s="152" t="str">
        <f>'DOE25'!G492</f>
        <v>8/2034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1100000</v>
      </c>
      <c r="C154" s="137">
        <f>'DOE25'!G493</f>
        <v>20745000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2.67</v>
      </c>
      <c r="C155" s="137">
        <f>'DOE25'!G494</f>
        <v>3.2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852119.53</v>
      </c>
      <c r="C156" s="137">
        <f>'DOE25'!G495</f>
        <v>19705000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20557119.530000001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194218.41</v>
      </c>
      <c r="C158" s="137">
        <f>'DOE25'!G497</f>
        <v>1040000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1234218.4099999999</v>
      </c>
    </row>
    <row r="159" spans="1:9" x14ac:dyDescent="0.2">
      <c r="A159" s="22" t="s">
        <v>35</v>
      </c>
      <c r="B159" s="137">
        <f>'DOE25'!F498</f>
        <v>657871.12</v>
      </c>
      <c r="C159" s="137">
        <f>'DOE25'!G498</f>
        <v>19705000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20362871.120000001</v>
      </c>
    </row>
    <row r="160" spans="1:9" x14ac:dyDescent="0.2">
      <c r="A160" s="22" t="s">
        <v>36</v>
      </c>
      <c r="B160" s="137">
        <f>'DOE25'!F499</f>
        <v>37738.68</v>
      </c>
      <c r="C160" s="137">
        <f>'DOE25'!G499</f>
        <v>7879852.5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7917591.1799999997</v>
      </c>
    </row>
    <row r="161" spans="1:7" x14ac:dyDescent="0.2">
      <c r="A161" s="22" t="s">
        <v>37</v>
      </c>
      <c r="B161" s="137">
        <f>'DOE25'!F500</f>
        <v>695609.8</v>
      </c>
      <c r="C161" s="137">
        <f>'DOE25'!G500</f>
        <v>27584852.5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28280462.300000001</v>
      </c>
    </row>
    <row r="162" spans="1:7" x14ac:dyDescent="0.2">
      <c r="A162" s="22" t="s">
        <v>38</v>
      </c>
      <c r="B162" s="137">
        <f>'DOE25'!F501</f>
        <v>199434.84</v>
      </c>
      <c r="C162" s="137">
        <f>'DOE25'!G501</f>
        <v>1040000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1239434.8400000001</v>
      </c>
    </row>
    <row r="163" spans="1:7" x14ac:dyDescent="0.2">
      <c r="A163" s="22" t="s">
        <v>39</v>
      </c>
      <c r="B163" s="137">
        <f>'DOE25'!F502</f>
        <v>17565.16</v>
      </c>
      <c r="C163" s="137">
        <f>'DOE25'!G502</f>
        <v>854235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871800.16</v>
      </c>
    </row>
    <row r="164" spans="1:7" x14ac:dyDescent="0.2">
      <c r="A164" s="22" t="s">
        <v>246</v>
      </c>
      <c r="B164" s="137">
        <f>'DOE25'!F503</f>
        <v>217000</v>
      </c>
      <c r="C164" s="137">
        <f>'DOE25'!G503</f>
        <v>1894235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2111235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PELHAM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10699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13494</v>
      </c>
    </row>
    <row r="7" spans="1:4" x14ac:dyDescent="0.2">
      <c r="B7" t="s">
        <v>705</v>
      </c>
      <c r="C7" s="179">
        <f>IF('DOE25'!I665+'DOE25'!I670=0,0,ROUND('DOE25'!I672,0))</f>
        <v>11587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9683180</v>
      </c>
      <c r="D10" s="182">
        <f>ROUND((C10/$C$28)*100,1)</f>
        <v>36.1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5317125</v>
      </c>
      <c r="D11" s="182">
        <f>ROUND((C11/$C$28)*100,1)</f>
        <v>19.8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124590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632560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1979369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877286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1495300</v>
      </c>
      <c r="D17" s="182">
        <f t="shared" si="0"/>
        <v>5.6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1471209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377349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2225125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1570403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907275</v>
      </c>
      <c r="D25" s="182">
        <f t="shared" si="0"/>
        <v>3.4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181302.20999999996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26842073.210000001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9906094</v>
      </c>
    </row>
    <row r="30" spans="1:4" x14ac:dyDescent="0.2">
      <c r="B30" s="187" t="s">
        <v>729</v>
      </c>
      <c r="C30" s="180">
        <f>SUM(C28:C29)</f>
        <v>36748167.210000001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1040000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18273047</v>
      </c>
      <c r="D35" s="182">
        <f t="shared" ref="D35:D40" si="1">ROUND((C35/$C$41)*100,1)</f>
        <v>64.900000000000006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500300.26999999955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7906731</v>
      </c>
      <c r="D37" s="182">
        <f t="shared" si="1"/>
        <v>28.1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465937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1016971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28162986.27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6" sqref="A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PELHAM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5</v>
      </c>
      <c r="B4" s="219" t="s">
        <v>917</v>
      </c>
      <c r="C4" s="285" t="s">
        <v>918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5</v>
      </c>
      <c r="B5" s="219" t="s">
        <v>919</v>
      </c>
      <c r="C5" s="285" t="s">
        <v>920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2016-10-27T16:29:14Z</cp:lastPrinted>
  <dcterms:created xsi:type="dcterms:W3CDTF">1997-12-04T19:04:30Z</dcterms:created>
  <dcterms:modified xsi:type="dcterms:W3CDTF">2016-12-01T18:43:12Z</dcterms:modified>
</cp:coreProperties>
</file>