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-45" yWindow="-45" windowWidth="18870" windowHeight="12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E16" i="13" s="1"/>
  <c r="C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C12" i="10" s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C114" i="2"/>
  <c r="D115" i="2"/>
  <c r="F115" i="2"/>
  <c r="G115" i="2"/>
  <c r="C119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J639" i="1" s="1"/>
  <c r="G460" i="1"/>
  <c r="H460" i="1"/>
  <c r="I460" i="1"/>
  <c r="I461" i="1" s="1"/>
  <c r="H642" i="1" s="1"/>
  <c r="G461" i="1"/>
  <c r="H640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8" i="1" s="1"/>
  <c r="G647" i="1" s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H641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F192" i="1"/>
  <c r="G164" i="2"/>
  <c r="C26" i="10"/>
  <c r="L351" i="1"/>
  <c r="C70" i="2"/>
  <c r="A40" i="12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62" i="2"/>
  <c r="E63" i="2" s="1"/>
  <c r="D19" i="13"/>
  <c r="C19" i="13" s="1"/>
  <c r="E78" i="2"/>
  <c r="E81" i="2" s="1"/>
  <c r="J257" i="1"/>
  <c r="J271" i="1" s="1"/>
  <c r="H112" i="1"/>
  <c r="J641" i="1"/>
  <c r="J571" i="1"/>
  <c r="K571" i="1"/>
  <c r="L433" i="1"/>
  <c r="L419" i="1"/>
  <c r="I169" i="1"/>
  <c r="J643" i="1"/>
  <c r="I476" i="1"/>
  <c r="H625" i="1" s="1"/>
  <c r="J625" i="1" s="1"/>
  <c r="G476" i="1"/>
  <c r="H623" i="1" s="1"/>
  <c r="J623" i="1" s="1"/>
  <c r="J140" i="1"/>
  <c r="I552" i="1"/>
  <c r="K550" i="1"/>
  <c r="G22" i="2"/>
  <c r="K545" i="1"/>
  <c r="C29" i="10"/>
  <c r="H140" i="1"/>
  <c r="F22" i="13"/>
  <c r="J651" i="1"/>
  <c r="H571" i="1"/>
  <c r="L560" i="1"/>
  <c r="G192" i="1"/>
  <c r="H192" i="1"/>
  <c r="F552" i="1"/>
  <c r="L309" i="1"/>
  <c r="J655" i="1"/>
  <c r="L570" i="1"/>
  <c r="J636" i="1"/>
  <c r="G36" i="2"/>
  <c r="C22" i="13"/>
  <c r="L565" i="1" l="1"/>
  <c r="L571" i="1" s="1"/>
  <c r="F571" i="1"/>
  <c r="I571" i="1"/>
  <c r="L544" i="1"/>
  <c r="K551" i="1"/>
  <c r="L534" i="1"/>
  <c r="G545" i="1"/>
  <c r="L529" i="1"/>
  <c r="I545" i="1"/>
  <c r="K549" i="1"/>
  <c r="L524" i="1"/>
  <c r="I257" i="1"/>
  <c r="I271" i="1" s="1"/>
  <c r="L290" i="1"/>
  <c r="D12" i="13"/>
  <c r="C12" i="13" s="1"/>
  <c r="E8" i="13"/>
  <c r="C8" i="13" s="1"/>
  <c r="C118" i="2"/>
  <c r="C122" i="2"/>
  <c r="G257" i="1"/>
  <c r="G271" i="1" s="1"/>
  <c r="C20" i="10"/>
  <c r="J640" i="1"/>
  <c r="I446" i="1"/>
  <c r="G642" i="1" s="1"/>
  <c r="H476" i="1"/>
  <c r="H624" i="1" s="1"/>
  <c r="J624" i="1" s="1"/>
  <c r="L401" i="1"/>
  <c r="C139" i="2" s="1"/>
  <c r="L362" i="1"/>
  <c r="F661" i="1"/>
  <c r="J634" i="1"/>
  <c r="G645" i="1"/>
  <c r="J645" i="1" s="1"/>
  <c r="F476" i="1"/>
  <c r="H622" i="1" s="1"/>
  <c r="J622" i="1"/>
  <c r="E31" i="2"/>
  <c r="H52" i="1"/>
  <c r="H619" i="1" s="1"/>
  <c r="D31" i="2"/>
  <c r="D51" i="2" s="1"/>
  <c r="K338" i="1"/>
  <c r="K352" i="1" s="1"/>
  <c r="C25" i="13"/>
  <c r="H33" i="13"/>
  <c r="C32" i="10"/>
  <c r="K257" i="1"/>
  <c r="K271" i="1" s="1"/>
  <c r="C15" i="10"/>
  <c r="C123" i="2"/>
  <c r="D127" i="2"/>
  <c r="D128" i="2" s="1"/>
  <c r="D145" i="2" s="1"/>
  <c r="E112" i="2"/>
  <c r="D14" i="13"/>
  <c r="C14" i="13" s="1"/>
  <c r="H257" i="1"/>
  <c r="H271" i="1" s="1"/>
  <c r="C21" i="10"/>
  <c r="H647" i="1"/>
  <c r="G649" i="1"/>
  <c r="J649" i="1" s="1"/>
  <c r="D15" i="13"/>
  <c r="C15" i="13" s="1"/>
  <c r="F662" i="1"/>
  <c r="I662" i="1" s="1"/>
  <c r="J647" i="1"/>
  <c r="G338" i="1"/>
  <c r="G352" i="1" s="1"/>
  <c r="D62" i="2"/>
  <c r="D63" i="2" s="1"/>
  <c r="D18" i="2"/>
  <c r="H661" i="1"/>
  <c r="D29" i="13"/>
  <c r="C29" i="13" s="1"/>
  <c r="G661" i="1"/>
  <c r="F338" i="1"/>
  <c r="F352" i="1" s="1"/>
  <c r="E128" i="2"/>
  <c r="C16" i="10"/>
  <c r="E109" i="2"/>
  <c r="E115" i="2" s="1"/>
  <c r="C121" i="2"/>
  <c r="C18" i="10"/>
  <c r="C17" i="10"/>
  <c r="C120" i="2"/>
  <c r="F257" i="1"/>
  <c r="F271" i="1" s="1"/>
  <c r="L247" i="1"/>
  <c r="H660" i="1" s="1"/>
  <c r="D5" i="13"/>
  <c r="C5" i="13" s="1"/>
  <c r="C111" i="2"/>
  <c r="C115" i="2" s="1"/>
  <c r="C11" i="10"/>
  <c r="C10" i="10"/>
  <c r="L211" i="1"/>
  <c r="D6" i="13"/>
  <c r="C6" i="13" s="1"/>
  <c r="C81" i="2"/>
  <c r="C62" i="2"/>
  <c r="F112" i="1"/>
  <c r="C35" i="10"/>
  <c r="C36" i="10" s="1"/>
  <c r="C56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K552" i="1" l="1"/>
  <c r="L545" i="1"/>
  <c r="L338" i="1"/>
  <c r="L352" i="1" s="1"/>
  <c r="G633" i="1" s="1"/>
  <c r="J633" i="1" s="1"/>
  <c r="E33" i="13"/>
  <c r="D35" i="13" s="1"/>
  <c r="F660" i="1"/>
  <c r="I660" i="1" s="1"/>
  <c r="L408" i="1"/>
  <c r="G637" i="1" s="1"/>
  <c r="J637" i="1" s="1"/>
  <c r="H646" i="1"/>
  <c r="J646" i="1" s="1"/>
  <c r="C104" i="2"/>
  <c r="E51" i="2"/>
  <c r="D31" i="13"/>
  <c r="C31" i="13" s="1"/>
  <c r="C128" i="2"/>
  <c r="C145" i="2" s="1"/>
  <c r="I661" i="1"/>
  <c r="G664" i="1"/>
  <c r="G667" i="1" s="1"/>
  <c r="H664" i="1"/>
  <c r="H667" i="1" s="1"/>
  <c r="E145" i="2"/>
  <c r="C28" i="10"/>
  <c r="D23" i="10" s="1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4" i="1" l="1"/>
  <c r="F667" i="1" s="1"/>
  <c r="D33" i="13"/>
  <c r="D36" i="13" s="1"/>
  <c r="I664" i="1"/>
  <c r="I672" i="1" s="1"/>
  <c r="C7" i="10" s="1"/>
  <c r="G672" i="1"/>
  <c r="C5" i="10" s="1"/>
  <c r="H672" i="1"/>
  <c r="C6" i="10" s="1"/>
  <c r="D27" i="10"/>
  <c r="D13" i="10"/>
  <c r="D18" i="10"/>
  <c r="D15" i="10"/>
  <c r="D17" i="10"/>
  <c r="D25" i="10"/>
  <c r="D21" i="10"/>
  <c r="D12" i="10"/>
  <c r="D20" i="10"/>
  <c r="D16" i="10"/>
  <c r="D19" i="10"/>
  <c r="D26" i="10"/>
  <c r="D22" i="10"/>
  <c r="D11" i="10"/>
  <c r="D24" i="10"/>
  <c r="D10" i="10"/>
  <c r="C30" i="10"/>
  <c r="H656" i="1"/>
  <c r="C41" i="10"/>
  <c r="D38" i="10" s="1"/>
  <c r="F672" i="1" l="1"/>
  <c r="C4" i="10" s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<sst xmlns="http://schemas.openxmlformats.org/spreadsheetml/2006/main" count="3955" uniqueCount="913">
  <si>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</si>
  <si>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</si>
  <si>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</si>
  <si>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</si>
  <si>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</si>
  <si>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</si>
  <si>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</si>
  <si>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</si>
  <si>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</si>
  <si>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</si>
  <si>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</si>
  <si>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</si>
  <si>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</si>
  <si>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</si>
  <si>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</si>
  <si>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</si>
  <si>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</si>
  <si>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</si>
  <si>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</si>
  <si>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</si>
  <si>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</si>
  <si>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</si>
  <si>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</si>
  <si>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</si>
  <si>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</si>
  <si>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</si>
  <si>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</si>
  <si>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</si>
  <si>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</si>
  <si>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</si>
  <si>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</si>
  <si>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</si>
  <si>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</si>
  <si>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</si>
  <si>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</si>
  <si>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</si>
  <si>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</si>
  <si>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</si>
  <si>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</si>
  <si>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</si>
  <si>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</si>
  <si>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</si>
  <si>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</si>
  <si>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</si>
  <si>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</si>
  <si>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</si>
  <si>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</si>
  <si>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</si>
  <si>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</si>
  <si>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</si>
  <si>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</si>
  <si>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</si>
  <si>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</si>
  <si>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</si>
  <si>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</si>
  <si>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</si>
  <si>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</si>
  <si>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</si>
  <si>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</si>
  <si>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</si>
  <si>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</si>
  <si>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</si>
  <si>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</si>
  <si>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</si>
  <si>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</si>
  <si>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</si>
  <si>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</si>
  <si>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</si>
  <si>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</si>
  <si>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</si>
  <si>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</si>
  <si>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</si>
  <si>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</si>
  <si>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</si>
  <si>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</si>
  <si>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</si>
  <si>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</si>
  <si>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</si>
  <si>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</si>
  <si>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</si>
  <si>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</si>
  <si>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</si>
  <si>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</si>
  <si>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</si>
  <si>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</si>
  <si>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</si>
  <si>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</si>
  <si>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</si>
  <si>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</si>
  <si>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</si>
  <si>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</si>
  <si>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</si>
  <si>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</si>
  <si>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</si>
  <si>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</si>
  <si>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</si>
  <si>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</si>
  <si>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</si>
  <si>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</si>
  <si>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</si>
  <si>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</si>
  <si>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</si>
  <si>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</si>
  <si>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</si>
  <si>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</si>
  <si>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</si>
  <si>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</si>
  <si>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</si>
  <si>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</si>
  <si>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</si>
  <si>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</si>
  <si>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</si>
  <si>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</si>
  <si>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</si>
  <si>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</si>
  <si>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</si>
  <si>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</si>
  <si>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</si>
  <si>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</si>
  <si>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</si>
  <si>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</si>
  <si>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</si>
  <si>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</si>
  <si>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</si>
  <si>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</si>
  <si>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</si>
  <si>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</si>
  <si>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</si>
  <si>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</si>
  <si>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</si>
  <si>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</si>
  <si>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</si>
  <si>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</si>
  <si>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</si>
  <si>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</si>
  <si>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</si>
  <si>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</si>
  <si>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</si>
  <si>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</si>
  <si>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</si>
  <si>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</si>
  <si>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</si>
  <si>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</si>
  <si>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</si>
  <si>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</si>
  <si>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</si>
  <si>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</si>
  <si>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</si>
  <si>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</si>
  <si>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</si>
  <si>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</si>
  <si>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</si>
  <si>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</si>
  <si>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</si>
  <si>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</si>
  <si>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</si>
  <si>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</si>
  <si>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</si>
  <si>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</si>
  <si>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</si>
  <si>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</si>
  <si>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</si>
  <si>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</si>
  <si>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</si>
  <si>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</si>
  <si>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</si>
  <si>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</si>
  <si>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</si>
  <si>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</si>
  <si>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</si>
  <si>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</si>
  <si>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</si>
  <si>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</si>
  <si>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</si>
  <si>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</si>
  <si>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</si>
  <si>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</si>
  <si>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</si>
  <si>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</si>
  <si>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</si>
  <si>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</si>
  <si>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</si>
  <si>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</si>
  <si>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</si>
  <si>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</si>
  <si>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</si>
  <si>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</si>
  <si>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</si>
  <si>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</si>
  <si>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</si>
  <si>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</si>
  <si>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</si>
  <si>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</si>
  <si>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</si>
  <si>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</si>
  <si>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</si>
  <si>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</si>
  <si>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</si>
  <si>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</si>
  <si>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</si>
  <si>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</si>
  <si>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</si>
  <si>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</si>
  <si>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</si>
  <si>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</si>
  <si>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</si>
  <si>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</si>
  <si>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</si>
  <si>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</si>
  <si>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</si>
  <si>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</si>
  <si>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</si>
  <si>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</si>
  <si>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</si>
  <si>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</si>
  <si>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</si>
  <si>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</si>
  <si>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</si>
  <si>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</si>
  <si>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</si>
  <si>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</si>
  <si>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</si>
  <si>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</si>
  <si>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</si>
  <si>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</si>
  <si>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</si>
  <si>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</si>
  <si>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</si>
  <si>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</si>
  <si>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</si>
  <si>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</si>
  <si>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</si>
  <si>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</si>
  <si>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</si>
  <si>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</si>
  <si>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</si>
  <si>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</si>
  <si>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</si>
  <si>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</si>
  <si>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</si>
  <si>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</si>
  <si>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</si>
  <si>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</si>
  <si>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</si>
  <si>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</si>
  <si>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</si>
  <si>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</si>
  <si>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</si>
  <si>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</si>
  <si>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</si>
  <si>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</si>
  <si>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</si>
  <si>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</si>
  <si>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</si>
  <si>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</si>
  <si>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</si>
  <si>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</si>
  <si>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</si>
  <si>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</si>
  <si>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</si>
  <si>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</si>
  <si>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</si>
  <si>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</si>
  <si>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</si>
  <si>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</si>
  <si>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</si>
  <si>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</si>
  <si>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</si>
  <si>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</si>
  <si>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</si>
  <si>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</si>
  <si>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</si>
  <si>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</si>
  <si>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</si>
  <si>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</si>
  <si>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</si>
  <si>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</si>
  <si>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</si>
  <si>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</si>
  <si>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</si>
  <si>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</si>
  <si>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</si>
  <si>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</si>
  <si>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</si>
  <si>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</si>
  <si>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</si>
  <si>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</si>
  <si>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</si>
  <si>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</si>
  <si>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</si>
  <si>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</si>
  <si>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</si>
  <si>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</si>
  <si>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</si>
  <si>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</si>
  <si>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</si>
  <si>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</si>
  <si>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</si>
  <si>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</si>
  <si>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</si>
  <si>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</si>
  <si>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</si>
  <si>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</si>
  <si>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</si>
  <si>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</si>
  <si>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</si>
  <si>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</si>
  <si>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</si>
  <si>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</si>
  <si>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</si>
  <si>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</si>
  <si>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</si>
  <si>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</si>
  <si>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</si>
  <si>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</si>
  <si>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</si>
  <si>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</si>
  <si>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</si>
  <si>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</si>
  <si>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</si>
  <si>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</si>
  <si>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</si>
  <si>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</si>
  <si>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</si>
  <si>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</si>
  <si>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</si>
  <si>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</si>
  <si>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</si>
  <si>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</si>
  <si>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</si>
  <si>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</si>
  <si>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</si>
  <si>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</si>
  <si>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</si>
  <si>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</si>
  <si>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</si>
  <si>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</si>
  <si>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</si>
  <si>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</si>
  <si>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</si>
  <si>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</si>
  <si>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</si>
  <si>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</si>
  <si>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</si>
  <si>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</si>
  <si>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</si>
  <si>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</si>
  <si>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</si>
  <si>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</si>
  <si>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</si>
  <si>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</si>
  <si>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</si>
  <si>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</si>
  <si>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</si>
  <si>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</si>
  <si>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</si>
  <si>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</si>
  <si>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</si>
  <si>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</si>
  <si>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</si>
  <si>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</si>
  <si>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</si>
  <si>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</si>
  <si>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</si>
  <si>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</si>
  <si>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</si>
  <si>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</si>
  <si>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</si>
  <si>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</si>
  <si>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</si>
  <si>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</si>
  <si>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</si>
  <si>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</si>
  <si>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</si>
  <si>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</si>
  <si>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</si>
  <si>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</si>
  <si>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</si>
  <si>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</si>
  <si>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</si>
  <si>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</si>
  <si>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</si>
  <si>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</si>
  <si>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</si>
  <si>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</si>
  <si>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</si>
  <si>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</si>
  <si>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</si>
  <si>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</si>
  <si>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</si>
  <si>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</si>
  <si>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</si>
  <si>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</si>
  <si>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</si>
  <si>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</si>
  <si>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</si>
  <si>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</si>
  <si>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</si>
  <si>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</si>
  <si>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</si>
  <si>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</si>
  <si>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</si>
  <si>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</si>
  <si>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</si>
  <si>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</si>
  <si>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</si>
  <si>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</si>
  <si>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</si>
  <si>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</si>
  <si>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</si>
  <si>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</si>
  <si>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</si>
  <si>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</si>
  <si>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</si>
  <si>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</si>
  <si>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</si>
  <si>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</si>
  <si>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</si>
  <si>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</si>
  <si>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</si>
  <si>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</si>
  <si>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</si>
  <si>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</si>
  <si>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</si>
  <si>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</si>
  <si>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</si>
  <si>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</si>
  <si>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</si>
  <si>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</si>
  <si>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</si>
  <si>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</si>
  <si>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</si>
  <si>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</si>
  <si>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</si>
  <si>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</si>
  <si>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</si>
  <si>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</si>
  <si>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</si>
  <si>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</si>
  <si>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</si>
  <si>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</si>
  <si>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</si>
  <si>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</si>
  <si>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</si>
  <si>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</si>
  <si>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</si>
  <si>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</si>
  <si>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</si>
  <si>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</si>
  <si>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</si>
  <si>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</si>
  <si>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</si>
  <si>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</si>
  <si>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</si>
  <si>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</si>
  <si>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</si>
  <si>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</si>
  <si>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</si>
  <si>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</si>
  <si>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</si>
  <si>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</si>
  <si>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</si>
  <si>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</si>
  <si>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</si>
  <si>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</si>
  <si>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</si>
  <si>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</si>
  <si>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</si>
  <si>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</si>
  <si>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</si>
  <si>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</si>
  <si>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</si>
  <si>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</si>
  <si>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</si>
  <si>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</si>
  <si>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</si>
  <si>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</si>
  <si>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</si>
  <si>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</si>
  <si>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</si>
  <si>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</si>
  <si>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</si>
  <si>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</si>
  <si>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</si>
  <si>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</si>
  <si>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</si>
  <si>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</si>
  <si>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</si>
  <si>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</si>
  <si>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</si>
  <si>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</si>
  <si>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</si>
  <si>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</si>
  <si>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</si>
  <si>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</si>
  <si>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</si>
  <si>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</si>
  <si>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</si>
  <si>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</si>
  <si>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</si>
  <si>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</si>
  <si>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</si>
  <si>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</si>
  <si>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</si>
  <si>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</si>
  <si>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</si>
  <si>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</si>
  <si>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</si>
  <si>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</si>
  <si>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</si>
  <si>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</si>
  <si>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</si>
  <si>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</si>
  <si>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</si>
  <si>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</si>
  <si>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</si>
  <si>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</si>
  <si>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</si>
  <si>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</si>
  <si>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</si>
  <si>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</si>
  <si>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</si>
  <si>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</si>
  <si>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</si>
  <si>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</si>
  <si>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</si>
  <si>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</si>
  <si>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</si>
  <si>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</si>
  <si>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</si>
  <si>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</si>
  <si>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</si>
  <si>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</si>
  <si>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</si>
  <si>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</si>
  <si>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</si>
  <si>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</si>
  <si>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</si>
  <si>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</si>
  <si>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</si>
  <si>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</si>
  <si>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</si>
  <si>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</si>
  <si>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</si>
  <si>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</si>
  <si>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</si>
  <si>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</si>
  <si>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</si>
  <si>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</si>
  <si>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</si>
  <si>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</si>
  <si>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</si>
  <si>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</si>
  <si>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</si>
  <si>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</si>
  <si>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</si>
  <si>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</si>
  <si>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</si>
  <si>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</si>
  <si>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</si>
  <si>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</si>
  <si>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</si>
  <si>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</si>
  <si>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</si>
  <si>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</si>
  <si>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</si>
  <si>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</si>
  <si>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</si>
  <si>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</si>
  <si>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</si>
  <si>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</si>
  <si>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</si>
  <si>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</si>
  <si>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</si>
  <si>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</si>
  <si>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</si>
  <si>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</si>
  <si>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</si>
  <si>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</si>
  <si>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</si>
  <si>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</si>
  <si>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</si>
  <si>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</si>
  <si>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</si>
  <si>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</si>
  <si>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</si>
  <si>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</si>
  <si>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</si>
  <si>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</si>
  <si>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</si>
  <si>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</si>
  <si>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</si>
  <si>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</si>
  <si>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</si>
  <si>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</si>
  <si>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</si>
  <si>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</si>
  <si>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</si>
  <si>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</si>
  <si>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</si>
  <si>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</si>
  <si>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</si>
  <si>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</si>
  <si>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</si>
  <si>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</si>
  <si>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</si>
  <si>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</si>
  <si>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</si>
  <si>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</si>
  <si>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</si>
  <si>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</si>
  <si>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</si>
  <si>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</si>
  <si>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</si>
  <si>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</si>
  <si>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</si>
  <si>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</si>
  <si>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</si>
  <si>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</si>
  <si>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</si>
  <si>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</si>
  <si>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</si>
  <si>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</si>
  <si>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</si>
  <si>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</si>
  <si>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</si>
  <si>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</si>
  <si>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</si>
  <si>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</si>
  <si>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</si>
  <si>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</si>
  <si>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</si>
  <si>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</si>
  <si>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</si>
  <si>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</si>
  <si>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</si>
  <si>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</si>
  <si>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</si>
  <si>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</si>
  <si>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</si>
  <si>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</si>
  <si>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</si>
  <si>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</si>
  <si>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</si>
  <si>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</si>
  <si>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</si>
  <si>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</si>
  <si>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</si>
  <si>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</si>
  <si>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</si>
  <si>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</si>
  <si>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</si>
  <si>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</si>
  <si>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</si>
  <si>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</si>
  <si>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</si>
  <si>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</si>
  <si>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</si>
  <si>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</si>
  <si>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</si>
  <si>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</si>
  <si>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</si>
  <si>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</si>
  <si>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</si>
  <si>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</si>
  <si>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</si>
  <si>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</si>
  <si>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</si>
  <si>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</si>
  <si>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</si>
  <si>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</si>
  <si>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</si>
  <si>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</si>
  <si>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</si>
  <si>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</si>
  <si>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</si>
  <si>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</si>
  <si>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</si>
  <si>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</si>
  <si>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</si>
  <si>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</si>
  <si>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</si>
  <si>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</si>
  <si>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</si>
  <si>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</si>
  <si>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</si>
  <si>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</si>
  <si>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</si>
  <si>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</si>
  <si>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</si>
  <si>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</si>
  <si>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</si>
  <si>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</si>
  <si>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</si>
  <si>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</si>
  <si>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</si>
  <si>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</si>
  <si>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</si>
  <si>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</si>
  <si>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</si>
  <si>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</si>
  <si>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</si>
  <si>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</si>
  <si>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</si>
  <si>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</si>
  <si>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</si>
  <si>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</si>
  <si>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</si>
  <si>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</si>
  <si>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</si>
  <si>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</si>
  <si>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</si>
  <si>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</si>
  <si>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</si>
  <si>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</si>
  <si>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</si>
  <si>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</si>
  <si>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</si>
  <si>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</si>
  <si>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</si>
  <si>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</si>
  <si>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</si>
  <si>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</si>
  <si>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</si>
  <si>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</si>
  <si>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</si>
  <si>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</si>
  <si>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</si>
  <si>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</si>
  <si>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</si>
  <si>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</si>
  <si>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</si>
  <si>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</si>
  <si>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</si>
  <si>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</si>
  <si>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</si>
  <si>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</si>
  <si>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</si>
  <si>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</si>
  <si>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</si>
  <si>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</si>
  <si>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</si>
  <si>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</si>
  <si>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</si>
  <si>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</si>
  <si>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</si>
  <si>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</si>
  <si>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</si>
  <si>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</si>
  <si>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</si>
  <si>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</si>
  <si>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</si>
  <si>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</si>
  <si>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</si>
  <si>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</si>
  <si>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</si>
  <si>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</si>
  <si>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</si>
  <si>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</si>
  <si>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</si>
  <si>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</si>
  <si>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</si>
  <si>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</si>
  <si>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</si>
  <si>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</si>
  <si>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</si>
  <si>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</si>
  <si>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</si>
  <si>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</si>
  <si>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</si>
  <si>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</si>
  <si>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</si>
  <si>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</si>
  <si>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</si>
  <si>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</si>
  <si>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</si>
  <si>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</si>
  <si>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</si>
  <si>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</si>
  <si>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</si>
  <si>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</si>
  <si>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</si>
  <si>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</si>
  <si>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</si>
  <si>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</si>
  <si>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</si>
  <si>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</si>
  <si>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</si>
  <si>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</si>
  <si>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</si>
  <si>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</si>
  <si>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</si>
  <si>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</si>
  <si>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</si>
  <si>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</si>
  <si>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</si>
  <si>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</si>
  <si>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</si>
  <si>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</si>
  <si>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</si>
  <si>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</si>
  <si>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</si>
  <si>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</si>
  <si>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</si>
  <si>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</si>
  <si>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</si>
  <si>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</si>
  <si>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</si>
  <si>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</si>
  <si>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</si>
  <si>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</si>
  <si>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</si>
  <si>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</si>
  <si>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</si>
  <si>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</si>
  <si>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</si>
  <si>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</si>
  <si>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</si>
  <si>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</si>
  <si>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</si>
  <si>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</si>
  <si>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</si>
  <si>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</si>
  <si>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</si>
  <si>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</si>
  <si>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</si>
  <si>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</si>
  <si>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</si>
  <si>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</si>
  <si>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</si>
  <si>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</si>
  <si>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</si>
  <si>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</si>
  <si>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</si>
  <si>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</si>
  <si>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</si>
  <si>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</si>
  <si>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</si>
  <si>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</si>
  <si>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</si>
  <si>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</si>
  <si>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</si>
  <si>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</si>
  <si>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</si>
  <si>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</si>
  <si>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</si>
  <si>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</si>
  <si>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</si>
  <si>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</si>
  <si>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</si>
  <si>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</si>
  <si>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</si>
  <si>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</si>
  <si>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</si>
  <si>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</si>
  <si>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</si>
  <si>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</si>
  <si>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</si>
  <si>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</si>
  <si>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</si>
  <si>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</si>
  <si>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</si>
  <si>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</si>
  <si>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</si>
  <si>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</si>
  <si>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</si>
  <si>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</si>
  <si>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</si>
  <si>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</si>
  <si>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</si>
  <si>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</si>
  <si>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</si>
  <si>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</si>
  <si>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</si>
  <si>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</si>
  <si>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</si>
  <si>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</si>
  <si>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</si>
  <si>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</si>
  <si>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</si>
  <si>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</si>
  <si>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</si>
  <si>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</si>
  <si>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</si>
  <si>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</si>
  <si>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</si>
  <si>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</si>
  <si>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</si>
  <si>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</si>
  <si>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</si>
  <si>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</si>
  <si>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</si>
  <si>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</si>
  <si>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</si>
  <si>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</si>
  <si>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</si>
  <si>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</si>
  <si>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</si>
  <si>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</si>
  <si>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</si>
  <si>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</si>
  <si>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</si>
  <si>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</si>
  <si>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</si>
  <si>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</si>
  <si>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</si>
  <si>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</si>
  <si>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</si>
  <si>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</si>
  <si>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</si>
  <si>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</si>
  <si>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</si>
  <si>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Pembroke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</si>
</sst>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427</v>
      </c>
      <c r="C2" s="21">
        <v>427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998760.47</v>
      </c>
      <c r="G9" s="18">
        <v>77409.759999999995</v>
      </c>
      <c r="H9" s="18"/>
      <c r="I9" s="18"/>
      <c r="J9" s="67">
        <f>SUM(I439)</f>
        <v>840991.53999999992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77397.149999999994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339184.9</v>
      </c>
      <c r="G13" s="18">
        <v>11699.95</v>
      </c>
      <c r="H13" s="18">
        <v>80265.16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14270.7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1337945.3700000001</v>
      </c>
      <c r="G19" s="41">
        <f>SUM(G9:G18)</f>
        <v>180777.56</v>
      </c>
      <c r="H19" s="41">
        <f>SUM(H9:H18)</f>
        <v>80265.16</v>
      </c>
      <c r="I19" s="41">
        <f>SUM(I9:I18)</f>
        <v>0</v>
      </c>
      <c r="J19" s="41">
        <f>SUM(J9:J18)</f>
        <v>840991.53999999992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11220.02</v>
      </c>
      <c r="G22" s="18">
        <v>0</v>
      </c>
      <c r="H22" s="18">
        <v>60599.99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526152.46</v>
      </c>
      <c r="G23" s="18">
        <v>3850.04</v>
      </c>
      <c r="H23" s="18">
        <v>19289.349999999999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26720.89</v>
      </c>
      <c r="G24" s="18">
        <v>92.69</v>
      </c>
      <c r="H24" s="18">
        <v>375.82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49703.07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613796.43999999994</v>
      </c>
      <c r="G32" s="41">
        <f>SUM(G22:G31)</f>
        <v>3942.73</v>
      </c>
      <c r="H32" s="41">
        <f>SUM(H22:H31)</f>
        <v>80265.16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176834.83</v>
      </c>
      <c r="H48" s="18"/>
      <c r="I48" s="18"/>
      <c r="J48" s="13">
        <f>SUM(I459)</f>
        <v>840991.53999999992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604148.93000000005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724148.93</v>
      </c>
      <c r="G51" s="41">
        <f>SUM(G35:G50)</f>
        <v>176834.83</v>
      </c>
      <c r="H51" s="41">
        <f>SUM(H35:H50)</f>
        <v>0</v>
      </c>
      <c r="I51" s="41">
        <f>SUM(I35:I50)</f>
        <v>0</v>
      </c>
      <c r="J51" s="41">
        <f>SUM(J35:J50)</f>
        <v>840991.53999999992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1337945.3700000001</v>
      </c>
      <c r="G52" s="41">
        <f>G51+G32</f>
        <v>180777.56</v>
      </c>
      <c r="H52" s="41">
        <f>H51+H32</f>
        <v>80265.16</v>
      </c>
      <c r="I52" s="41">
        <f>I51+I32</f>
        <v>0</v>
      </c>
      <c r="J52" s="41">
        <f>J51+J32</f>
        <v>840991.53999999992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9831763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9831763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36318.160000000003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5100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5198313.8600000003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576072.66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5815804.6800000006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14205.38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14205.38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90.65</v>
      </c>
      <c r="H96" s="18"/>
      <c r="I96" s="18"/>
      <c r="J96" s="18">
        <v>210.09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381078.65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3460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34791.96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119322.36</v>
      </c>
      <c r="G110" s="18">
        <v>0.05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157574.32</v>
      </c>
      <c r="G111" s="41">
        <f>SUM(G96:G110)</f>
        <v>381169.35000000003</v>
      </c>
      <c r="H111" s="41">
        <f>SUM(H96:H110)</f>
        <v>0</v>
      </c>
      <c r="I111" s="41">
        <f>SUM(I96:I110)</f>
        <v>0</v>
      </c>
      <c r="J111" s="41">
        <f>SUM(J96:J110)</f>
        <v>210.09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15819347.380000001</v>
      </c>
      <c r="G112" s="41">
        <f>G60+G111</f>
        <v>381169.35000000003</v>
      </c>
      <c r="H112" s="41">
        <f>H60+H79+H94+H111</f>
        <v>0</v>
      </c>
      <c r="I112" s="41">
        <f>I60+I111</f>
        <v>0</v>
      </c>
      <c r="J112" s="41">
        <f>J60+J111</f>
        <v>210.09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5708881.04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1348510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7059273.0200000005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199369.87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100273.5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18393.689999999999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8583.6200000000008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318037.06</v>
      </c>
      <c r="G136" s="41">
        <f>SUM(G123:G135)</f>
        <v>8583.6200000000008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7377310.0800000001</v>
      </c>
      <c r="G140" s="41">
        <f>G121+SUM(G136:G137)</f>
        <v>8583.6200000000008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252874.53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105032.2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24720.05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282296.78000000003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200346.17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0</v>
      </c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200346.17</v>
      </c>
      <c r="G162" s="41">
        <f>SUM(G150:G161)</f>
        <v>282296.78000000003</v>
      </c>
      <c r="H162" s="41">
        <f>SUM(H150:H161)</f>
        <v>382626.77999999997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200346.17</v>
      </c>
      <c r="G169" s="41">
        <f>G147+G162+SUM(G163:G168)</f>
        <v>282296.78000000003</v>
      </c>
      <c r="H169" s="41">
        <f>H147+H162+SUM(H163:H168)</f>
        <v>382626.77999999997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3545.87</v>
      </c>
      <c r="H179" s="18"/>
      <c r="I179" s="18"/>
      <c r="J179" s="18">
        <v>210000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3545.87</v>
      </c>
      <c r="H183" s="41">
        <f>SUM(H179:H182)</f>
        <v>0</v>
      </c>
      <c r="I183" s="41">
        <f>SUM(I179:I182)</f>
        <v>0</v>
      </c>
      <c r="J183" s="41">
        <f>SUM(J179:J182)</f>
        <v>210000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118500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115009.63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233509.63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233509.63</v>
      </c>
      <c r="G192" s="41">
        <f>G183+SUM(G188:G191)</f>
        <v>3545.87</v>
      </c>
      <c r="H192" s="41">
        <f>+H183+SUM(H188:H191)</f>
        <v>0</v>
      </c>
      <c r="I192" s="41">
        <f>I177+I183+SUM(I188:I191)</f>
        <v>0</v>
      </c>
      <c r="J192" s="41">
        <f>J183</f>
        <v>210000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23630513.260000002</v>
      </c>
      <c r="G193" s="47">
        <f>G112+G140+G169+G192</f>
        <v>675595.62</v>
      </c>
      <c r="H193" s="47">
        <f>H112+H140+H169+H192</f>
        <v>382626.77999999997</v>
      </c>
      <c r="I193" s="47">
        <f>I112+I140+I169+I192</f>
        <v>0</v>
      </c>
      <c r="J193" s="47">
        <f>J112+J140+J192</f>
        <v>210210.09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3401643.69</v>
      </c>
      <c r="G197" s="18">
        <v>2011503.29</v>
      </c>
      <c r="H197" s="18">
        <v>63283.81</v>
      </c>
      <c r="I197" s="18">
        <v>60329.31</v>
      </c>
      <c r="J197" s="18">
        <v>63091.77</v>
      </c>
      <c r="K197" s="18">
        <v>256</v>
      </c>
      <c r="L197" s="19">
        <f>SUM(F197:K197)</f>
        <v>5600107.8699999992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1325817.1599999999</v>
      </c>
      <c r="G198" s="18">
        <v>783999.09</v>
      </c>
      <c r="H198" s="18">
        <v>605648.68999999994</v>
      </c>
      <c r="I198" s="18">
        <v>7064.22</v>
      </c>
      <c r="J198" s="18">
        <v>479</v>
      </c>
      <c r="K198" s="18">
        <v>610.1</v>
      </c>
      <c r="L198" s="19">
        <f>SUM(F198:K198)</f>
        <v>2723618.2600000002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34289</v>
      </c>
      <c r="G200" s="18">
        <v>20276.21</v>
      </c>
      <c r="H200" s="18">
        <v>9016.5</v>
      </c>
      <c r="I200" s="18">
        <v>1203.52</v>
      </c>
      <c r="J200" s="18">
        <v>0</v>
      </c>
      <c r="K200" s="18">
        <v>300</v>
      </c>
      <c r="L200" s="19">
        <f>SUM(F200:K200)</f>
        <v>65085.229999999996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311602.45</v>
      </c>
      <c r="G202" s="18">
        <v>184260.73</v>
      </c>
      <c r="H202" s="18">
        <v>362768.93</v>
      </c>
      <c r="I202" s="18">
        <v>7210.18</v>
      </c>
      <c r="J202" s="18">
        <v>511.35</v>
      </c>
      <c r="K202" s="18">
        <v>340</v>
      </c>
      <c r="L202" s="19">
        <f t="shared" ref="L202:L208" si="0">SUM(F202:K202)</f>
        <v>866693.64000000013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111912.35</v>
      </c>
      <c r="G203" s="18">
        <v>66177.440000000002</v>
      </c>
      <c r="H203" s="18">
        <v>74692.73</v>
      </c>
      <c r="I203" s="18">
        <v>20404.77</v>
      </c>
      <c r="J203" s="18">
        <v>107.6</v>
      </c>
      <c r="K203" s="18"/>
      <c r="L203" s="19">
        <f t="shared" si="0"/>
        <v>273294.89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4193.66</v>
      </c>
      <c r="G204" s="18">
        <v>2479.85</v>
      </c>
      <c r="H204" s="18">
        <v>324641.74</v>
      </c>
      <c r="I204" s="18">
        <v>1206.49</v>
      </c>
      <c r="J204" s="18"/>
      <c r="K204" s="18">
        <v>2931.89</v>
      </c>
      <c r="L204" s="19">
        <f t="shared" si="0"/>
        <v>335453.63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521206.99</v>
      </c>
      <c r="G205" s="18">
        <v>308206.76</v>
      </c>
      <c r="H205" s="18">
        <v>55727.61</v>
      </c>
      <c r="I205" s="18">
        <v>4474.72</v>
      </c>
      <c r="J205" s="18">
        <v>1073</v>
      </c>
      <c r="K205" s="18">
        <v>4525.1000000000004</v>
      </c>
      <c r="L205" s="19">
        <f t="shared" si="0"/>
        <v>895214.17999999993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283799.03000000003</v>
      </c>
      <c r="G207" s="18">
        <v>167819.66</v>
      </c>
      <c r="H207" s="18">
        <v>251823.26</v>
      </c>
      <c r="I207" s="18">
        <v>172449.78</v>
      </c>
      <c r="J207" s="18">
        <v>4294.8599999999997</v>
      </c>
      <c r="K207" s="18"/>
      <c r="L207" s="19">
        <f t="shared" si="0"/>
        <v>880186.59000000008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458116.72</v>
      </c>
      <c r="I208" s="18"/>
      <c r="J208" s="18"/>
      <c r="K208" s="18"/>
      <c r="L208" s="19">
        <f t="shared" si="0"/>
        <v>458116.72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5994464.3300000001</v>
      </c>
      <c r="G211" s="41">
        <f t="shared" si="1"/>
        <v>3544723.0300000003</v>
      </c>
      <c r="H211" s="41">
        <f t="shared" si="1"/>
        <v>2205719.9900000002</v>
      </c>
      <c r="I211" s="41">
        <f t="shared" si="1"/>
        <v>274342.99</v>
      </c>
      <c r="J211" s="41">
        <f t="shared" si="1"/>
        <v>69557.579999999987</v>
      </c>
      <c r="K211" s="41">
        <f t="shared" si="1"/>
        <v>8963.09</v>
      </c>
      <c r="L211" s="41">
        <f t="shared" si="1"/>
        <v>12097771.010000002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2620898.02</v>
      </c>
      <c r="G233" s="18">
        <v>1451564.67</v>
      </c>
      <c r="H233" s="18">
        <v>42454.27</v>
      </c>
      <c r="I233" s="18">
        <v>63264.53</v>
      </c>
      <c r="J233" s="18">
        <v>38703.919999999998</v>
      </c>
      <c r="K233" s="18">
        <v>1046.75</v>
      </c>
      <c r="L233" s="19">
        <f>SUM(F233:K233)</f>
        <v>4217932.16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827942.74</v>
      </c>
      <c r="G234" s="18">
        <v>458549.86</v>
      </c>
      <c r="H234" s="18">
        <v>389408.64</v>
      </c>
      <c r="I234" s="18">
        <v>3860.08</v>
      </c>
      <c r="J234" s="18">
        <v>2579.98</v>
      </c>
      <c r="K234" s="18">
        <v>670</v>
      </c>
      <c r="L234" s="19">
        <f>SUM(F234:K234)</f>
        <v>1683011.3000000003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417490.78</v>
      </c>
      <c r="G235" s="18">
        <v>231224.13</v>
      </c>
      <c r="H235" s="18">
        <v>196466.17</v>
      </c>
      <c r="I235" s="18">
        <v>26633.93</v>
      </c>
      <c r="J235" s="18">
        <v>2510.5500000000002</v>
      </c>
      <c r="K235" s="18">
        <v>135</v>
      </c>
      <c r="L235" s="19">
        <f>SUM(F235:K235)</f>
        <v>874460.56000000017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275586.42</v>
      </c>
      <c r="G236" s="18">
        <v>46325.599999999999</v>
      </c>
      <c r="H236" s="18">
        <v>67220.73</v>
      </c>
      <c r="I236" s="18">
        <v>20455.16</v>
      </c>
      <c r="J236" s="18">
        <v>3995</v>
      </c>
      <c r="K236" s="18">
        <v>49013.08</v>
      </c>
      <c r="L236" s="19">
        <f>SUM(F236:K236)</f>
        <v>462595.98999999993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386408.56</v>
      </c>
      <c r="G238" s="18">
        <v>214009.48</v>
      </c>
      <c r="H238" s="18">
        <v>152300.4</v>
      </c>
      <c r="I238" s="18">
        <v>2036.85</v>
      </c>
      <c r="J238" s="18">
        <v>0</v>
      </c>
      <c r="K238" s="18">
        <v>3500</v>
      </c>
      <c r="L238" s="19">
        <f t="shared" ref="L238:L244" si="4">SUM(F238:K238)</f>
        <v>758255.29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89791.74</v>
      </c>
      <c r="G239" s="18">
        <v>49730.48</v>
      </c>
      <c r="H239" s="18">
        <v>49015.21</v>
      </c>
      <c r="I239" s="18">
        <v>24508.85</v>
      </c>
      <c r="J239" s="18">
        <v>0</v>
      </c>
      <c r="K239" s="18">
        <v>0</v>
      </c>
      <c r="L239" s="19">
        <f t="shared" si="4"/>
        <v>213046.28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4195.67</v>
      </c>
      <c r="G240" s="18">
        <v>2323.7399999999998</v>
      </c>
      <c r="H240" s="18">
        <v>330536.98</v>
      </c>
      <c r="I240" s="18">
        <v>1223.04</v>
      </c>
      <c r="J240" s="18"/>
      <c r="K240" s="18">
        <v>3059.45</v>
      </c>
      <c r="L240" s="19">
        <f t="shared" si="4"/>
        <v>341338.87999999995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676061.53</v>
      </c>
      <c r="G241" s="18">
        <v>374431.6</v>
      </c>
      <c r="H241" s="18">
        <v>32329.78</v>
      </c>
      <c r="I241" s="18">
        <v>9116.26</v>
      </c>
      <c r="J241" s="18">
        <v>1323.14</v>
      </c>
      <c r="K241" s="18">
        <v>16944.37</v>
      </c>
      <c r="L241" s="19">
        <f t="shared" si="4"/>
        <v>1110206.68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335599.49</v>
      </c>
      <c r="G243" s="18">
        <v>185869.26</v>
      </c>
      <c r="H243" s="18">
        <v>194179.26</v>
      </c>
      <c r="I243" s="18">
        <v>232913.29</v>
      </c>
      <c r="J243" s="18">
        <v>10386.99</v>
      </c>
      <c r="K243" s="18"/>
      <c r="L243" s="19">
        <f t="shared" si="4"/>
        <v>958948.29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224274.44</v>
      </c>
      <c r="I244" s="18"/>
      <c r="J244" s="18"/>
      <c r="K244" s="18"/>
      <c r="L244" s="19">
        <f t="shared" si="4"/>
        <v>224274.44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5633974.9500000002</v>
      </c>
      <c r="G247" s="41">
        <f t="shared" si="5"/>
        <v>3014028.8200000003</v>
      </c>
      <c r="H247" s="41">
        <f t="shared" si="5"/>
        <v>1678185.88</v>
      </c>
      <c r="I247" s="41">
        <f t="shared" si="5"/>
        <v>384011.99000000005</v>
      </c>
      <c r="J247" s="41">
        <f t="shared" si="5"/>
        <v>59499.58</v>
      </c>
      <c r="K247" s="41">
        <f t="shared" si="5"/>
        <v>74368.649999999994</v>
      </c>
      <c r="L247" s="41">
        <f t="shared" si="5"/>
        <v>10844069.870000003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750933.38</v>
      </c>
      <c r="I255" s="18"/>
      <c r="J255" s="18"/>
      <c r="K255" s="18"/>
      <c r="L255" s="19">
        <f t="shared" si="6"/>
        <v>750933.38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750933.38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750933.38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11628439.280000001</v>
      </c>
      <c r="G257" s="41">
        <f t="shared" si="8"/>
        <v>6558751.8500000006</v>
      </c>
      <c r="H257" s="41">
        <f t="shared" si="8"/>
        <v>4634839.25</v>
      </c>
      <c r="I257" s="41">
        <f t="shared" si="8"/>
        <v>658354.98</v>
      </c>
      <c r="J257" s="41">
        <f t="shared" si="8"/>
        <v>129057.15999999999</v>
      </c>
      <c r="K257" s="41">
        <f t="shared" si="8"/>
        <v>83331.739999999991</v>
      </c>
      <c r="L257" s="41">
        <f t="shared" si="8"/>
        <v>23692774.260000002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50000</v>
      </c>
      <c r="L260" s="19">
        <f>SUM(F260:K260)</f>
        <v>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19550</v>
      </c>
      <c r="L261" s="19">
        <f>SUM(F261:K261)</f>
        <v>19550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3545.87</v>
      </c>
      <c r="L263" s="19">
        <f>SUM(F263:K263)</f>
        <v>3545.87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210000</v>
      </c>
      <c r="L266" s="19">
        <f t="shared" si="9"/>
        <v>210000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19689.439999999999</v>
      </c>
      <c r="L268" s="19">
        <f t="shared" si="9"/>
        <v>19689.439999999999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302785.31</v>
      </c>
      <c r="L270" s="41">
        <f t="shared" si="9"/>
        <v>302785.31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11628439.280000001</v>
      </c>
      <c r="G271" s="42">
        <f t="shared" si="11"/>
        <v>6558751.8500000006</v>
      </c>
      <c r="H271" s="42">
        <f t="shared" si="11"/>
        <v>4634839.25</v>
      </c>
      <c r="I271" s="42">
        <f t="shared" si="11"/>
        <v>658354.98</v>
      </c>
      <c r="J271" s="42">
        <f t="shared" si="11"/>
        <v>129057.15999999999</v>
      </c>
      <c r="K271" s="42">
        <f t="shared" si="11"/>
        <v>386117.05</v>
      </c>
      <c r="L271" s="42">
        <f t="shared" si="11"/>
        <v>23995559.57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163342.01</v>
      </c>
      <c r="G276" s="18">
        <v>19744.11</v>
      </c>
      <c r="H276" s="18">
        <v>3171.39</v>
      </c>
      <c r="I276" s="18">
        <v>25587.93</v>
      </c>
      <c r="J276" s="18">
        <v>31792.15</v>
      </c>
      <c r="K276" s="18">
        <v>0</v>
      </c>
      <c r="L276" s="19">
        <f>SUM(F276:K276)</f>
        <v>243637.59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/>
      <c r="I279" s="18">
        <v>0</v>
      </c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9187.5</v>
      </c>
      <c r="G281" s="18">
        <v>1520.9</v>
      </c>
      <c r="H281" s="18">
        <v>24752</v>
      </c>
      <c r="I281" s="18">
        <v>90.92</v>
      </c>
      <c r="J281" s="18"/>
      <c r="K281" s="18">
        <v>0</v>
      </c>
      <c r="L281" s="19">
        <f t="shared" ref="L281:L287" si="12">SUM(F281:K281)</f>
        <v>35551.32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0</v>
      </c>
      <c r="G282" s="18">
        <v>0</v>
      </c>
      <c r="H282" s="18">
        <v>42785.89</v>
      </c>
      <c r="I282" s="18"/>
      <c r="J282" s="18"/>
      <c r="K282" s="18">
        <v>0</v>
      </c>
      <c r="L282" s="19">
        <f t="shared" si="12"/>
        <v>42785.89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1500</v>
      </c>
      <c r="I283" s="18"/>
      <c r="J283" s="18"/>
      <c r="K283" s="18">
        <v>6694.55</v>
      </c>
      <c r="L283" s="19">
        <f t="shared" si="12"/>
        <v>8194.5499999999993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172529.51</v>
      </c>
      <c r="G290" s="42">
        <f t="shared" si="13"/>
        <v>21265.010000000002</v>
      </c>
      <c r="H290" s="42">
        <f t="shared" si="13"/>
        <v>72209.279999999999</v>
      </c>
      <c r="I290" s="42">
        <f t="shared" si="13"/>
        <v>25678.85</v>
      </c>
      <c r="J290" s="42">
        <f t="shared" si="13"/>
        <v>31792.15</v>
      </c>
      <c r="K290" s="42">
        <f t="shared" si="13"/>
        <v>6694.55</v>
      </c>
      <c r="L290" s="41">
        <f t="shared" si="13"/>
        <v>330169.34999999998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25328.39</v>
      </c>
      <c r="G314" s="18">
        <v>2893.69</v>
      </c>
      <c r="H314" s="18"/>
      <c r="I314" s="18"/>
      <c r="J314" s="18"/>
      <c r="K314" s="18"/>
      <c r="L314" s="19">
        <f>SUM(F314:K314)</f>
        <v>28222.079999999998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25328.39</v>
      </c>
      <c r="G328" s="42">
        <f t="shared" si="17"/>
        <v>2893.69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28222.079999999998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20238</v>
      </c>
      <c r="G333" s="18">
        <v>3997.35</v>
      </c>
      <c r="H333" s="18"/>
      <c r="I333" s="18"/>
      <c r="J333" s="18"/>
      <c r="K333" s="18"/>
      <c r="L333" s="19">
        <f t="shared" si="18"/>
        <v>24235.35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20238</v>
      </c>
      <c r="G337" s="41">
        <f t="shared" si="19"/>
        <v>3997.35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24235.35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218095.90000000002</v>
      </c>
      <c r="G338" s="41">
        <f t="shared" si="20"/>
        <v>28156.05</v>
      </c>
      <c r="H338" s="41">
        <f t="shared" si="20"/>
        <v>72209.279999999999</v>
      </c>
      <c r="I338" s="41">
        <f t="shared" si="20"/>
        <v>25678.85</v>
      </c>
      <c r="J338" s="41">
        <f t="shared" si="20"/>
        <v>31792.15</v>
      </c>
      <c r="K338" s="41">
        <f t="shared" si="20"/>
        <v>6694.55</v>
      </c>
      <c r="L338" s="41">
        <f t="shared" si="20"/>
        <v>382626.77999999997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218095.90000000002</v>
      </c>
      <c r="G352" s="41">
        <f>G338</f>
        <v>28156.05</v>
      </c>
      <c r="H352" s="41">
        <f>H338</f>
        <v>72209.279999999999</v>
      </c>
      <c r="I352" s="41">
        <f>I338</f>
        <v>25678.85</v>
      </c>
      <c r="J352" s="41">
        <f>J338</f>
        <v>31792.15</v>
      </c>
      <c r="K352" s="47">
        <f>K338+K351</f>
        <v>6694.55</v>
      </c>
      <c r="L352" s="41">
        <f>L338+L351</f>
        <v>382626.77999999997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105942.03</v>
      </c>
      <c r="G358" s="18">
        <v>63793.35</v>
      </c>
      <c r="H358" s="18">
        <v>7617.24</v>
      </c>
      <c r="I358" s="18">
        <v>119940.42</v>
      </c>
      <c r="J358" s="18">
        <v>7349.84</v>
      </c>
      <c r="K358" s="18">
        <v>419.4</v>
      </c>
      <c r="L358" s="13">
        <f>SUM(F358:K358)</f>
        <v>305062.28000000003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129484.7</v>
      </c>
      <c r="G360" s="18">
        <v>77969.649999999994</v>
      </c>
      <c r="H360" s="18">
        <v>9309.9699999999993</v>
      </c>
      <c r="I360" s="18">
        <v>146593.84</v>
      </c>
      <c r="J360" s="18">
        <v>8983.1299999999992</v>
      </c>
      <c r="K360" s="18">
        <v>512.6</v>
      </c>
      <c r="L360" s="19">
        <f>SUM(F360:K360)</f>
        <v>372853.88999999996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235426.72999999998</v>
      </c>
      <c r="G362" s="47">
        <f t="shared" si="22"/>
        <v>141763</v>
      </c>
      <c r="H362" s="47">
        <f t="shared" si="22"/>
        <v>16927.21</v>
      </c>
      <c r="I362" s="47">
        <f t="shared" si="22"/>
        <v>266534.26</v>
      </c>
      <c r="J362" s="47">
        <f t="shared" si="22"/>
        <v>16332.97</v>
      </c>
      <c r="K362" s="47">
        <f t="shared" si="22"/>
        <v>932</v>
      </c>
      <c r="L362" s="47">
        <f t="shared" si="22"/>
        <v>677916.16999999993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110981.4</v>
      </c>
      <c r="G367" s="18"/>
      <c r="H367" s="18">
        <v>135643.94</v>
      </c>
      <c r="I367" s="56">
        <f>SUM(F367:H367)</f>
        <v>246625.34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8959.01</v>
      </c>
      <c r="G368" s="63"/>
      <c r="H368" s="63">
        <v>10949.91</v>
      </c>
      <c r="I368" s="56">
        <f>SUM(F368:H368)</f>
        <v>19908.919999999998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119940.40999999999</v>
      </c>
      <c r="G369" s="47">
        <f>SUM(G367:G368)</f>
        <v>0</v>
      </c>
      <c r="H369" s="47">
        <f>SUM(H367:H368)</f>
        <v>146593.85</v>
      </c>
      <c r="I369" s="47">
        <f>SUM(I367:I368)</f>
        <v>266534.26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50000</v>
      </c>
      <c r="H389" s="18">
        <v>155.66</v>
      </c>
      <c r="I389" s="18"/>
      <c r="J389" s="24" t="s">
        <v>289</v>
      </c>
      <c r="K389" s="24" t="s">
        <v>289</v>
      </c>
      <c r="L389" s="56">
        <f t="shared" si="25"/>
        <v>50155.66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155.66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50155.66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36.9</v>
      </c>
      <c r="I397" s="18"/>
      <c r="J397" s="24" t="s">
        <v>289</v>
      </c>
      <c r="K397" s="24" t="s">
        <v>289</v>
      </c>
      <c r="L397" s="56">
        <f t="shared" si="26"/>
        <v>36.9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1.59</v>
      </c>
      <c r="I399" s="18"/>
      <c r="J399" s="24" t="s">
        <v>289</v>
      </c>
      <c r="K399" s="24" t="s">
        <v>289</v>
      </c>
      <c r="L399" s="56">
        <f t="shared" si="26"/>
        <v>10001.59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150000</v>
      </c>
      <c r="H400" s="18">
        <v>15.94</v>
      </c>
      <c r="I400" s="18"/>
      <c r="J400" s="24" t="s">
        <v>289</v>
      </c>
      <c r="K400" s="24" t="s">
        <v>289</v>
      </c>
      <c r="L400" s="56">
        <f t="shared" si="26"/>
        <v>150015.94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160000</v>
      </c>
      <c r="H401" s="47">
        <f>SUM(H395:H400)</f>
        <v>54.43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160054.43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210000</v>
      </c>
      <c r="H408" s="47">
        <f>H393+H401+H407</f>
        <v>210.09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210210.09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7500</v>
      </c>
      <c r="L415" s="56">
        <f t="shared" si="27"/>
        <v>7500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7500</v>
      </c>
      <c r="L419" s="47">
        <f t="shared" si="28"/>
        <v>7500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115009.63</v>
      </c>
      <c r="L426" s="56">
        <f t="shared" si="29"/>
        <v>115009.63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115009.63</v>
      </c>
      <c r="L427" s="47">
        <f t="shared" si="30"/>
        <v>115009.63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122509.63</v>
      </c>
      <c r="L434" s="47">
        <f t="shared" si="32"/>
        <v>122509.63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294731.46999999997</v>
      </c>
      <c r="G439" s="18">
        <v>546260.06999999995</v>
      </c>
      <c r="H439" s="18"/>
      <c r="I439" s="56">
        <f t="shared" ref="I439:I445" si="33">SUM(F439:H439)</f>
        <v>840991.53999999992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294731.46999999997</v>
      </c>
      <c r="G446" s="13">
        <f>SUM(G439:G445)</f>
        <v>546260.06999999995</v>
      </c>
      <c r="H446" s="13">
        <f>SUM(H439:H445)</f>
        <v>0</v>
      </c>
      <c r="I446" s="13">
        <f>SUM(I439:I445)</f>
        <v>840991.53999999992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294731.46999999997</v>
      </c>
      <c r="G459" s="18">
        <v>546260.06999999995</v>
      </c>
      <c r="H459" s="18"/>
      <c r="I459" s="56">
        <f t="shared" si="34"/>
        <v>840991.53999999992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294731.46999999997</v>
      </c>
      <c r="G460" s="83">
        <f>SUM(G454:G459)</f>
        <v>546260.06999999995</v>
      </c>
      <c r="H460" s="83">
        <f>SUM(H454:H459)</f>
        <v>0</v>
      </c>
      <c r="I460" s="83">
        <f>SUM(I454:I459)</f>
        <v>840991.53999999992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294731.46999999997</v>
      </c>
      <c r="G461" s="42">
        <f>G452+G460</f>
        <v>546260.06999999995</v>
      </c>
      <c r="H461" s="42">
        <f>H452+H460</f>
        <v>0</v>
      </c>
      <c r="I461" s="42">
        <f>I452+I460</f>
        <v>840991.53999999992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1089195.24</v>
      </c>
      <c r="G465" s="18">
        <v>179155.38</v>
      </c>
      <c r="H465" s="18"/>
      <c r="I465" s="18"/>
      <c r="J465" s="18">
        <v>753291.08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23630513.260000002</v>
      </c>
      <c r="G468" s="18">
        <v>675595.62</v>
      </c>
      <c r="H468" s="18">
        <v>382626.78</v>
      </c>
      <c r="I468" s="18"/>
      <c r="J468" s="18">
        <v>210210.09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23630513.260000002</v>
      </c>
      <c r="G470" s="53">
        <f>SUM(G468:G469)</f>
        <v>675595.62</v>
      </c>
      <c r="H470" s="53">
        <f>SUM(H468:H469)</f>
        <v>382626.78</v>
      </c>
      <c r="I470" s="53">
        <f>SUM(I468:I469)</f>
        <v>0</v>
      </c>
      <c r="J470" s="53">
        <f>SUM(J468:J469)</f>
        <v>210210.09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23995559.57</v>
      </c>
      <c r="G472" s="18">
        <v>677916.17</v>
      </c>
      <c r="H472" s="18">
        <v>382626.78</v>
      </c>
      <c r="I472" s="18"/>
      <c r="J472" s="18">
        <v>122509.63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23995559.57</v>
      </c>
      <c r="G474" s="53">
        <f>SUM(G472:G473)</f>
        <v>677916.17</v>
      </c>
      <c r="H474" s="53">
        <f>SUM(H472:H473)</f>
        <v>382626.78</v>
      </c>
      <c r="I474" s="53">
        <f>SUM(I472:I473)</f>
        <v>0</v>
      </c>
      <c r="J474" s="53">
        <f>SUM(J472:J473)</f>
        <v>122509.63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724148.9299999997</v>
      </c>
      <c r="G476" s="53">
        <f>(G465+G470)- G474</f>
        <v>176834.82999999996</v>
      </c>
      <c r="H476" s="53">
        <f>(H465+H470)- H474</f>
        <v>0</v>
      </c>
      <c r="I476" s="53">
        <f>(I465+I470)- I474</f>
        <v>0</v>
      </c>
      <c r="J476" s="53">
        <f>(J465+J470)- J474</f>
        <v>840991.53999999992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1325817.1599999999</v>
      </c>
      <c r="G521" s="18">
        <v>783999.09</v>
      </c>
      <c r="H521" s="18">
        <v>605648.68999999994</v>
      </c>
      <c r="I521" s="18">
        <v>7064.22</v>
      </c>
      <c r="J521" s="18">
        <v>479</v>
      </c>
      <c r="K521" s="18">
        <v>310.10000000000002</v>
      </c>
      <c r="L521" s="88">
        <f>SUM(F521:K521)</f>
        <v>2723318.2600000002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827942.74</v>
      </c>
      <c r="G523" s="18">
        <v>458549.86</v>
      </c>
      <c r="H523" s="18">
        <v>389408.64</v>
      </c>
      <c r="I523" s="18">
        <v>3860.08</v>
      </c>
      <c r="J523" s="18">
        <v>2579.98</v>
      </c>
      <c r="K523" s="18">
        <v>670</v>
      </c>
      <c r="L523" s="88">
        <f>SUM(F523:K523)</f>
        <v>1683011.3000000003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2153759.9</v>
      </c>
      <c r="G524" s="108">
        <f t="shared" ref="G524:L524" si="36">SUM(G521:G523)</f>
        <v>1242548.95</v>
      </c>
      <c r="H524" s="108">
        <f t="shared" si="36"/>
        <v>995057.33</v>
      </c>
      <c r="I524" s="108">
        <f t="shared" si="36"/>
        <v>10924.3</v>
      </c>
      <c r="J524" s="108">
        <f t="shared" si="36"/>
        <v>3058.98</v>
      </c>
      <c r="K524" s="108">
        <f t="shared" si="36"/>
        <v>980.1</v>
      </c>
      <c r="L524" s="89">
        <f t="shared" si="36"/>
        <v>4406329.5600000005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357708.73</v>
      </c>
      <c r="I526" s="18"/>
      <c r="J526" s="18"/>
      <c r="K526" s="18"/>
      <c r="L526" s="88">
        <f>SUM(F526:K526)</f>
        <v>357708.73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146865.20000000001</v>
      </c>
      <c r="I528" s="18"/>
      <c r="J528" s="18"/>
      <c r="K528" s="18"/>
      <c r="L528" s="88">
        <f>SUM(F528:K528)</f>
        <v>146865.20000000001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504573.93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504573.93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30306.73</v>
      </c>
      <c r="G531" s="18">
        <v>16266.87</v>
      </c>
      <c r="H531" s="18"/>
      <c r="I531" s="18"/>
      <c r="J531" s="18"/>
      <c r="K531" s="18"/>
      <c r="L531" s="88">
        <f>SUM(F531:K531)</f>
        <v>46573.599999999999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7576.68</v>
      </c>
      <c r="G533" s="18">
        <v>4066.72</v>
      </c>
      <c r="H533" s="18"/>
      <c r="I533" s="18"/>
      <c r="J533" s="18"/>
      <c r="K533" s="18"/>
      <c r="L533" s="88">
        <f>SUM(F533:K533)</f>
        <v>11643.4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37883.410000000003</v>
      </c>
      <c r="G534" s="89">
        <f t="shared" ref="G534:L534" si="38">SUM(G531:G533)</f>
        <v>20333.59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58217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397440.74</v>
      </c>
      <c r="I541" s="18"/>
      <c r="J541" s="18"/>
      <c r="K541" s="18"/>
      <c r="L541" s="88">
        <f>SUM(F541:K541)</f>
        <v>397440.74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224274.44</v>
      </c>
      <c r="I543" s="18"/>
      <c r="J543" s="18"/>
      <c r="K543" s="18"/>
      <c r="L543" s="88">
        <f>SUM(F543:K543)</f>
        <v>224274.44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621715.17999999993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621715.17999999993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2191643.31</v>
      </c>
      <c r="G545" s="89">
        <f t="shared" ref="G545:L545" si="41">G524+G529+G534+G539+G544</f>
        <v>1262882.54</v>
      </c>
      <c r="H545" s="89">
        <f t="shared" si="41"/>
        <v>2121346.44</v>
      </c>
      <c r="I545" s="89">
        <f t="shared" si="41"/>
        <v>10924.3</v>
      </c>
      <c r="J545" s="89">
        <f t="shared" si="41"/>
        <v>3058.98</v>
      </c>
      <c r="K545" s="89">
        <f t="shared" si="41"/>
        <v>980.1</v>
      </c>
      <c r="L545" s="89">
        <f t="shared" si="41"/>
        <v>5590835.6699999999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2723318.2600000002</v>
      </c>
      <c r="G549" s="87">
        <f>L526</f>
        <v>357708.73</v>
      </c>
      <c r="H549" s="87">
        <f>L531</f>
        <v>46573.599999999999</v>
      </c>
      <c r="I549" s="87">
        <f>L536</f>
        <v>0</v>
      </c>
      <c r="J549" s="87">
        <f>L541</f>
        <v>397440.74</v>
      </c>
      <c r="K549" s="87">
        <f>SUM(F549:J549)</f>
        <v>3525041.33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1683011.3000000003</v>
      </c>
      <c r="G551" s="87">
        <f>L528</f>
        <v>146865.20000000001</v>
      </c>
      <c r="H551" s="87">
        <f>L533</f>
        <v>11643.4</v>
      </c>
      <c r="I551" s="87">
        <f>L538</f>
        <v>0</v>
      </c>
      <c r="J551" s="87">
        <f>L543</f>
        <v>224274.44</v>
      </c>
      <c r="K551" s="87">
        <f>SUM(F551:J551)</f>
        <v>2065794.34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4406329.5600000005</v>
      </c>
      <c r="G552" s="89">
        <f t="shared" si="42"/>
        <v>504573.93</v>
      </c>
      <c r="H552" s="89">
        <f t="shared" si="42"/>
        <v>58217</v>
      </c>
      <c r="I552" s="89">
        <f t="shared" si="42"/>
        <v>0</v>
      </c>
      <c r="J552" s="89">
        <f t="shared" si="42"/>
        <v>621715.17999999993</v>
      </c>
      <c r="K552" s="89">
        <f t="shared" si="42"/>
        <v>5590835.6699999999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1177.75</v>
      </c>
      <c r="G562" s="18">
        <v>940.41</v>
      </c>
      <c r="H562" s="18"/>
      <c r="I562" s="18">
        <v>358.1</v>
      </c>
      <c r="J562" s="18"/>
      <c r="K562" s="18"/>
      <c r="L562" s="88">
        <f>SUM(F562:K562)</f>
        <v>2476.2599999999998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16447.7</v>
      </c>
      <c r="G564" s="18">
        <v>15346.92</v>
      </c>
      <c r="H564" s="18"/>
      <c r="I564" s="18">
        <v>449.44</v>
      </c>
      <c r="J564" s="18"/>
      <c r="K564" s="18"/>
      <c r="L564" s="88">
        <f>SUM(F564:K564)</f>
        <v>32244.06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17625.45</v>
      </c>
      <c r="G565" s="89">
        <f t="shared" si="44"/>
        <v>16287.33</v>
      </c>
      <c r="H565" s="89">
        <f t="shared" si="44"/>
        <v>0</v>
      </c>
      <c r="I565" s="89">
        <f t="shared" si="44"/>
        <v>807.54</v>
      </c>
      <c r="J565" s="89">
        <f t="shared" si="44"/>
        <v>0</v>
      </c>
      <c r="K565" s="89">
        <f t="shared" si="44"/>
        <v>0</v>
      </c>
      <c r="L565" s="89">
        <f t="shared" si="44"/>
        <v>34720.32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17625.45</v>
      </c>
      <c r="G571" s="89">
        <f t="shared" ref="G571:L571" si="46">G560+G565+G570</f>
        <v>16287.33</v>
      </c>
      <c r="H571" s="89">
        <f t="shared" si="46"/>
        <v>0</v>
      </c>
      <c r="I571" s="89">
        <f t="shared" si="46"/>
        <v>807.54</v>
      </c>
      <c r="J571" s="89">
        <f t="shared" si="46"/>
        <v>0</v>
      </c>
      <c r="K571" s="89">
        <f t="shared" si="46"/>
        <v>0</v>
      </c>
      <c r="L571" s="89">
        <f t="shared" si="46"/>
        <v>34720.32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350546.83</v>
      </c>
      <c r="G579" s="18"/>
      <c r="H579" s="18">
        <v>42654.61</v>
      </c>
      <c r="I579" s="87">
        <f t="shared" si="47"/>
        <v>393201.44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37921.72</v>
      </c>
      <c r="G582" s="18"/>
      <c r="H582" s="18">
        <v>98350.55</v>
      </c>
      <c r="I582" s="87">
        <f t="shared" si="47"/>
        <v>136272.27000000002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77596.509999999995</v>
      </c>
      <c r="G583" s="18"/>
      <c r="H583" s="18">
        <v>118118.33</v>
      </c>
      <c r="I583" s="87">
        <f t="shared" si="47"/>
        <v>195714.84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196090.18</v>
      </c>
      <c r="I584" s="87">
        <f t="shared" si="47"/>
        <v>196090.18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324657.5</v>
      </c>
      <c r="I591" s="18"/>
      <c r="J591" s="18">
        <v>0</v>
      </c>
      <c r="K591" s="104">
        <f t="shared" ref="K591:K597" si="48">SUM(H591:J591)</f>
        <v>324657.5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127574.6</v>
      </c>
      <c r="I592" s="18"/>
      <c r="J592" s="18">
        <v>96444.71</v>
      </c>
      <c r="K592" s="104">
        <f t="shared" si="48"/>
        <v>224019.31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73038.37</v>
      </c>
      <c r="K593" s="104">
        <f t="shared" si="48"/>
        <v>73038.37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4201.37</v>
      </c>
      <c r="I594" s="18"/>
      <c r="J594" s="18">
        <v>50355.97</v>
      </c>
      <c r="K594" s="104">
        <f t="shared" si="48"/>
        <v>54557.340000000004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1683.25</v>
      </c>
      <c r="I595" s="18"/>
      <c r="J595" s="18">
        <v>4435.3900000000003</v>
      </c>
      <c r="K595" s="104">
        <f t="shared" si="48"/>
        <v>6118.64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458116.72</v>
      </c>
      <c r="I598" s="108">
        <f>SUM(I591:I597)</f>
        <v>0</v>
      </c>
      <c r="J598" s="108">
        <f>SUM(J591:J597)</f>
        <v>224274.44000000003</v>
      </c>
      <c r="K598" s="108">
        <f>SUM(K591:K597)</f>
        <v>682391.16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101349.73</v>
      </c>
      <c r="I604" s="18"/>
      <c r="J604" s="18">
        <v>59499.58</v>
      </c>
      <c r="K604" s="104">
        <f>SUM(H604:J604)</f>
        <v>160849.31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101349.73</v>
      </c>
      <c r="I605" s="108">
        <f>SUM(I602:I604)</f>
        <v>0</v>
      </c>
      <c r="J605" s="108">
        <f>SUM(J602:J604)</f>
        <v>59499.58</v>
      </c>
      <c r="K605" s="108">
        <f>SUM(K602:K604)</f>
        <v>160849.31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1337945.3700000001</v>
      </c>
      <c r="H617" s="109">
        <f>SUM(F52)</f>
        <v>1337945.3700000001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180777.56</v>
      </c>
      <c r="H618" s="109">
        <f>SUM(G52)</f>
        <v>180777.56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80265.16</v>
      </c>
      <c r="H619" s="109">
        <f>SUM(H52)</f>
        <v>80265.16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840991.53999999992</v>
      </c>
      <c r="H621" s="109">
        <f>SUM(J52)</f>
        <v>840991.53999999992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724148.93</v>
      </c>
      <c r="H622" s="109">
        <f>F476</f>
        <v>724148.9299999997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176834.83</v>
      </c>
      <c r="H623" s="109">
        <f>G476</f>
        <v>176834.82999999996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840991.53999999992</v>
      </c>
      <c r="H626" s="109">
        <f>J476</f>
        <v>840991.53999999992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23630513.260000002</v>
      </c>
      <c r="H627" s="104">
        <f>SUM(F468)</f>
        <v>23630513.260000002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675595.62</v>
      </c>
      <c r="H628" s="104">
        <f>SUM(G468)</f>
        <v>675595.62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382626.77999999997</v>
      </c>
      <c r="H629" s="104">
        <f>SUM(H468)</f>
        <v>382626.78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210210.09</v>
      </c>
      <c r="H631" s="104">
        <f>SUM(J468)</f>
        <v>210210.09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23995559.57</v>
      </c>
      <c r="H632" s="104">
        <f>SUM(F472)</f>
        <v>23995559.57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382626.77999999997</v>
      </c>
      <c r="H633" s="104">
        <f>SUM(H472)</f>
        <v>382626.78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266534.26</v>
      </c>
      <c r="H634" s="104">
        <f>I369</f>
        <v>266534.26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677916.16999999993</v>
      </c>
      <c r="H635" s="104">
        <f>SUM(G472)</f>
        <v>677916.17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210210.09</v>
      </c>
      <c r="H637" s="164">
        <f>SUM(J468)</f>
        <v>210210.09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122509.63</v>
      </c>
      <c r="H638" s="164">
        <f>SUM(J472)</f>
        <v>122509.63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294731.46999999997</v>
      </c>
      <c r="H639" s="104">
        <f>SUM(F461)</f>
        <v>294731.46999999997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546260.06999999995</v>
      </c>
      <c r="H640" s="104">
        <f>SUM(G461)</f>
        <v>546260.06999999995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840991.53999999992</v>
      </c>
      <c r="H642" s="104">
        <f>SUM(I461)</f>
        <v>840991.53999999992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210.09</v>
      </c>
      <c r="H644" s="104">
        <f>H408</f>
        <v>210.09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210000</v>
      </c>
      <c r="H645" s="104">
        <f>G408</f>
        <v>210000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210210.09</v>
      </c>
      <c r="H646" s="104">
        <f>L408</f>
        <v>210210.09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682391.16</v>
      </c>
      <c r="H647" s="104">
        <f>L208+L226+L244</f>
        <v>682391.15999999992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160849.31</v>
      </c>
      <c r="H648" s="104">
        <f>(J257+J338)-(J255+J336)</f>
        <v>160849.31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458116.72</v>
      </c>
      <c r="H649" s="104">
        <f>H598</f>
        <v>458116.72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224274.44</v>
      </c>
      <c r="H651" s="104">
        <f>J598</f>
        <v>224274.44000000003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3545.87</v>
      </c>
      <c r="H652" s="104">
        <f>K263+K345</f>
        <v>3545.87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210000</v>
      </c>
      <c r="H655" s="104">
        <f>K266+K347</f>
        <v>210000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12733002.640000001</v>
      </c>
      <c r="G660" s="19">
        <f>(L229+L309+L359)</f>
        <v>0</v>
      </c>
      <c r="H660" s="19">
        <f>(L247+L328+L360)</f>
        <v>11245145.840000004</v>
      </c>
      <c r="I660" s="19">
        <f>SUM(F660:H660)</f>
        <v>23978148.480000004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171485.41696746374</v>
      </c>
      <c r="G661" s="19">
        <f>(L359/IF(SUM(L358:L360)=0,1,SUM(L358:L360))*(SUM(G97:G110)))</f>
        <v>0</v>
      </c>
      <c r="H661" s="19">
        <f>(L360/IF(SUM(L358:L360)=0,1,SUM(L358:L360))*(SUM(G97:G110)))</f>
        <v>209593.2830325363</v>
      </c>
      <c r="I661" s="19">
        <f>SUM(F661:H661)</f>
        <v>381078.70000000007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458116.72</v>
      </c>
      <c r="G662" s="19">
        <f>(L226+L306)-(J226+J306)</f>
        <v>0</v>
      </c>
      <c r="H662" s="19">
        <f>(L244+L325)-(J244+J325)</f>
        <v>224274.44</v>
      </c>
      <c r="I662" s="19">
        <f>SUM(F662:H662)</f>
        <v>682391.15999999992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567414.79</v>
      </c>
      <c r="G663" s="199">
        <f>SUM(G575:G587)+SUM(I602:I604)+L612</f>
        <v>0</v>
      </c>
      <c r="H663" s="199">
        <f>SUM(H575:H587)+SUM(J602:J604)+L613</f>
        <v>514713.25</v>
      </c>
      <c r="I663" s="19">
        <f>SUM(F663:H663)</f>
        <v>1082128.04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11535985.713032536</v>
      </c>
      <c r="G664" s="19">
        <f>G660-SUM(G661:G663)</f>
        <v>0</v>
      </c>
      <c r="H664" s="19">
        <f>H660-SUM(H661:H663)</f>
        <v>10296564.866967468</v>
      </c>
      <c r="I664" s="19">
        <f>I660-SUM(I661:I663)</f>
        <v>21832550.580000006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769.2</v>
      </c>
      <c r="G665" s="248"/>
      <c r="H665" s="248">
        <v>814.37</v>
      </c>
      <c r="I665" s="19">
        <f>SUM(F665:H665)</f>
        <v>1583.5700000000002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14997.38</v>
      </c>
      <c r="G667" s="19" t="e">
        <f>ROUND(G664/G665,2)</f>
        <v>#DIV/0!</v>
      </c>
      <c r="H667" s="19">
        <f>ROUND(H664/H665,2)</f>
        <v>12643.6</v>
      </c>
      <c r="I667" s="19">
        <f>ROUND(I664/I665,2)</f>
        <v>13786.92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-21.78</v>
      </c>
      <c r="I670" s="19">
        <f>SUM(F670:H670)</f>
        <v>-21.78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14997.38</v>
      </c>
      <c r="G672" s="19" t="e">
        <f>ROUND((G664+G669)/(G665+G670),2)</f>
        <v>#DIV/0!</v>
      </c>
      <c r="H672" s="19">
        <f>ROUND((H664+H669)/(H665+H670),2)</f>
        <v>12991.04</v>
      </c>
      <c r="I672" s="19">
        <f>ROUND((I664+I669)/(I665+I670),2)</f>
        <v>13979.18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6" sqref="C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Pembroke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6211212.1099999994</v>
      </c>
      <c r="C9" s="229">
        <f>'DOE25'!G197+'DOE25'!G215+'DOE25'!G233+'DOE25'!G276+'DOE25'!G295+'DOE25'!G314</f>
        <v>3485705.76</v>
      </c>
    </row>
    <row r="10" spans="1:3" x14ac:dyDescent="0.2">
      <c r="A10" t="s">
        <v>779</v>
      </c>
      <c r="B10" s="240">
        <v>5943115.4400000004</v>
      </c>
      <c r="C10" s="240">
        <v>3335251.05</v>
      </c>
    </row>
    <row r="11" spans="1:3" x14ac:dyDescent="0.2">
      <c r="A11" t="s">
        <v>780</v>
      </c>
      <c r="B11" s="240">
        <v>87344.67</v>
      </c>
      <c r="C11" s="240">
        <v>49017.46</v>
      </c>
    </row>
    <row r="12" spans="1:3" x14ac:dyDescent="0.2">
      <c r="A12" t="s">
        <v>781</v>
      </c>
      <c r="B12" s="240">
        <v>180752</v>
      </c>
      <c r="C12" s="240">
        <v>101437.25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6211212.1100000003</v>
      </c>
      <c r="C13" s="231">
        <f>SUM(C10:C12)</f>
        <v>3485705.76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2153759.9</v>
      </c>
      <c r="C18" s="229">
        <f>'DOE25'!G198+'DOE25'!G216+'DOE25'!G234+'DOE25'!G277+'DOE25'!G296+'DOE25'!G315</f>
        <v>1242548.95</v>
      </c>
    </row>
    <row r="19" spans="1:3" x14ac:dyDescent="0.2">
      <c r="A19" t="s">
        <v>779</v>
      </c>
      <c r="B19" s="240">
        <v>1120846.8999999999</v>
      </c>
      <c r="C19" s="240">
        <v>646639.92000000004</v>
      </c>
    </row>
    <row r="20" spans="1:3" x14ac:dyDescent="0.2">
      <c r="A20" t="s">
        <v>780</v>
      </c>
      <c r="B20" s="240">
        <v>852476.79</v>
      </c>
      <c r="C20" s="240">
        <v>491811.62</v>
      </c>
    </row>
    <row r="21" spans="1:3" x14ac:dyDescent="0.2">
      <c r="A21" t="s">
        <v>781</v>
      </c>
      <c r="B21" s="240">
        <v>180436.21</v>
      </c>
      <c r="C21" s="240">
        <v>104097.41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2153759.9</v>
      </c>
      <c r="C22" s="231">
        <f>SUM(C19:C21)</f>
        <v>1242548.95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417490.78</v>
      </c>
      <c r="C27" s="234">
        <f>'DOE25'!G199+'DOE25'!G217+'DOE25'!G235+'DOE25'!G278+'DOE25'!G297+'DOE25'!G316</f>
        <v>231224.13</v>
      </c>
    </row>
    <row r="28" spans="1:3" x14ac:dyDescent="0.2">
      <c r="A28" t="s">
        <v>779</v>
      </c>
      <c r="B28" s="240">
        <v>391552.03</v>
      </c>
      <c r="C28" s="240">
        <v>216858.15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25938.75</v>
      </c>
      <c r="C30" s="240">
        <v>14365.98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417490.78</v>
      </c>
      <c r="C31" s="231">
        <f>SUM(C28:C30)</f>
        <v>231224.13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309875.42</v>
      </c>
      <c r="C36" s="235">
        <f>'DOE25'!G200+'DOE25'!G218+'DOE25'!G236+'DOE25'!G279+'DOE25'!G298+'DOE25'!G317</f>
        <v>66601.81</v>
      </c>
    </row>
    <row r="37" spans="1:3" x14ac:dyDescent="0.2">
      <c r="A37" t="s">
        <v>779</v>
      </c>
      <c r="B37" s="240">
        <v>226231.42</v>
      </c>
      <c r="C37" s="240">
        <v>48624.13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83644</v>
      </c>
      <c r="C39" s="240">
        <v>17977.68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309875.42000000004</v>
      </c>
      <c r="C40" s="231">
        <f>SUM(C37:C39)</f>
        <v>66601.81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43" sqref="E4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Pembroke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15626811.370000001</v>
      </c>
      <c r="D5" s="20">
        <f>SUM('DOE25'!L197:L200)+SUM('DOE25'!L215:L218)+SUM('DOE25'!L233:L236)-F5-G5</f>
        <v>15463420.220000001</v>
      </c>
      <c r="E5" s="243"/>
      <c r="F5" s="255">
        <f>SUM('DOE25'!J197:J200)+SUM('DOE25'!J215:J218)+SUM('DOE25'!J233:J236)</f>
        <v>111360.22</v>
      </c>
      <c r="G5" s="53">
        <f>SUM('DOE25'!K197:K200)+SUM('DOE25'!K215:K218)+SUM('DOE25'!K233:K236)</f>
        <v>52030.93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1624948.9300000002</v>
      </c>
      <c r="D6" s="20">
        <f>'DOE25'!L202+'DOE25'!L220+'DOE25'!L238-F6-G6</f>
        <v>1620597.58</v>
      </c>
      <c r="E6" s="243"/>
      <c r="F6" s="255">
        <f>'DOE25'!J202+'DOE25'!J220+'DOE25'!J238</f>
        <v>511.35</v>
      </c>
      <c r="G6" s="53">
        <f>'DOE25'!K202+'DOE25'!K220+'DOE25'!K238</f>
        <v>3840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486341.17000000004</v>
      </c>
      <c r="D7" s="20">
        <f>'DOE25'!L203+'DOE25'!L221+'DOE25'!L239-F7-G7</f>
        <v>486233.57000000007</v>
      </c>
      <c r="E7" s="243"/>
      <c r="F7" s="255">
        <f>'DOE25'!J203+'DOE25'!J221+'DOE25'!J239</f>
        <v>107.6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492556.51000000007</v>
      </c>
      <c r="D8" s="243"/>
      <c r="E8" s="20">
        <f>'DOE25'!L204+'DOE25'!L222+'DOE25'!L240-F8-G8-D9-D11</f>
        <v>486565.17000000004</v>
      </c>
      <c r="F8" s="255">
        <f>'DOE25'!J204+'DOE25'!J222+'DOE25'!J240</f>
        <v>0</v>
      </c>
      <c r="G8" s="53">
        <f>'DOE25'!K204+'DOE25'!K222+'DOE25'!K240</f>
        <v>5991.34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10291</v>
      </c>
      <c r="D9" s="244">
        <v>10291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12768</v>
      </c>
      <c r="D10" s="243"/>
      <c r="E10" s="244">
        <v>12768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173945</v>
      </c>
      <c r="D11" s="244">
        <v>173945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2005420.8599999999</v>
      </c>
      <c r="D12" s="20">
        <f>'DOE25'!L205+'DOE25'!L223+'DOE25'!L241-F12-G12</f>
        <v>1981555.25</v>
      </c>
      <c r="E12" s="243"/>
      <c r="F12" s="255">
        <f>'DOE25'!J205+'DOE25'!J223+'DOE25'!J241</f>
        <v>2396.1400000000003</v>
      </c>
      <c r="G12" s="53">
        <f>'DOE25'!K205+'DOE25'!K223+'DOE25'!K241</f>
        <v>21469.47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1839134.8800000001</v>
      </c>
      <c r="D14" s="20">
        <f>'DOE25'!L207+'DOE25'!L225+'DOE25'!L243-F14-G14</f>
        <v>1824453.03</v>
      </c>
      <c r="E14" s="243"/>
      <c r="F14" s="255">
        <f>'DOE25'!J207+'DOE25'!J225+'DOE25'!J243</f>
        <v>14681.849999999999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682391.15999999992</v>
      </c>
      <c r="D15" s="20">
        <f>'DOE25'!L208+'DOE25'!L226+'DOE25'!L244-F15-G15</f>
        <v>682391.15999999992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750933.38</v>
      </c>
      <c r="D22" s="243"/>
      <c r="E22" s="243"/>
      <c r="F22" s="255">
        <f>'DOE25'!L255+'DOE25'!L336</f>
        <v>750933.38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69550</v>
      </c>
      <c r="D25" s="243"/>
      <c r="E25" s="243"/>
      <c r="F25" s="258"/>
      <c r="G25" s="256"/>
      <c r="H25" s="257">
        <f>'DOE25'!L260+'DOE25'!L261+'DOE25'!L341+'DOE25'!L342</f>
        <v>69550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431290.82999999996</v>
      </c>
      <c r="D29" s="20">
        <f>'DOE25'!L358+'DOE25'!L359+'DOE25'!L360-'DOE25'!I367-F29-G29</f>
        <v>414025.86</v>
      </c>
      <c r="E29" s="243"/>
      <c r="F29" s="255">
        <f>'DOE25'!J358+'DOE25'!J359+'DOE25'!J360</f>
        <v>16332.97</v>
      </c>
      <c r="G29" s="53">
        <f>'DOE25'!K358+'DOE25'!K359+'DOE25'!K360</f>
        <v>932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382626.77999999997</v>
      </c>
      <c r="D31" s="20">
        <f>'DOE25'!L290+'DOE25'!L309+'DOE25'!L328+'DOE25'!L333+'DOE25'!L334+'DOE25'!L335-F31-G31</f>
        <v>344140.07999999996</v>
      </c>
      <c r="E31" s="243"/>
      <c r="F31" s="255">
        <f>'DOE25'!J290+'DOE25'!J309+'DOE25'!J328+'DOE25'!J333+'DOE25'!J334+'DOE25'!J335</f>
        <v>31792.15</v>
      </c>
      <c r="G31" s="53">
        <f>'DOE25'!K290+'DOE25'!K309+'DOE25'!K328+'DOE25'!K333+'DOE25'!K334+'DOE25'!K335</f>
        <v>6694.55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23001052.75</v>
      </c>
      <c r="E33" s="246">
        <f>SUM(E5:E31)</f>
        <v>499333.17000000004</v>
      </c>
      <c r="F33" s="246">
        <f>SUM(F5:F31)</f>
        <v>928115.66</v>
      </c>
      <c r="G33" s="246">
        <f>SUM(G5:G31)</f>
        <v>90958.290000000008</v>
      </c>
      <c r="H33" s="246">
        <f>SUM(H5:H31)</f>
        <v>69550</v>
      </c>
    </row>
    <row r="35" spans="2:8" ht="12" thickBot="1" x14ac:dyDescent="0.25">
      <c r="B35" s="253" t="s">
        <v>847</v>
      </c>
      <c r="D35" s="254">
        <f>E33</f>
        <v>499333.17000000004</v>
      </c>
      <c r="E35" s="249"/>
    </row>
    <row r="36" spans="2:8" ht="12" thickTop="1" x14ac:dyDescent="0.2">
      <c r="B36" t="s">
        <v>815</v>
      </c>
      <c r="D36" s="20">
        <f>D33</f>
        <v>23001052.75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998760.47</v>
      </c>
      <c r="D8" s="95">
        <f>'DOE25'!G9</f>
        <v>77409.759999999995</v>
      </c>
      <c r="E8" s="95">
        <f>'DOE25'!H9</f>
        <v>0</v>
      </c>
      <c r="F8" s="95">
        <f>'DOE25'!I9</f>
        <v>0</v>
      </c>
      <c r="G8" s="95">
        <f>'DOE25'!J9</f>
        <v>840991.53999999992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77397.149999999994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339184.9</v>
      </c>
      <c r="D12" s="95">
        <f>'DOE25'!G13</f>
        <v>11699.95</v>
      </c>
      <c r="E12" s="95">
        <f>'DOE25'!H13</f>
        <v>80265.16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14270.7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1337945.3700000001</v>
      </c>
      <c r="D18" s="41">
        <f>SUM(D8:D17)</f>
        <v>180777.56</v>
      </c>
      <c r="E18" s="41">
        <f>SUM(E8:E17)</f>
        <v>80265.16</v>
      </c>
      <c r="F18" s="41">
        <f>SUM(F8:F17)</f>
        <v>0</v>
      </c>
      <c r="G18" s="41">
        <f>SUM(G8:G17)</f>
        <v>840991.53999999992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11220.02</v>
      </c>
      <c r="D21" s="95">
        <f>'DOE25'!G22</f>
        <v>0</v>
      </c>
      <c r="E21" s="95">
        <f>'DOE25'!H22</f>
        <v>60599.99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526152.46</v>
      </c>
      <c r="D22" s="95">
        <f>'DOE25'!G23</f>
        <v>3850.04</v>
      </c>
      <c r="E22" s="95">
        <f>'DOE25'!H23</f>
        <v>19289.349999999999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26720.89</v>
      </c>
      <c r="D23" s="95">
        <f>'DOE25'!G24</f>
        <v>92.69</v>
      </c>
      <c r="E23" s="95">
        <f>'DOE25'!H24</f>
        <v>375.82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49703.07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613796.43999999994</v>
      </c>
      <c r="D31" s="41">
        <f>SUM(D21:D30)</f>
        <v>3942.73</v>
      </c>
      <c r="E31" s="41">
        <f>SUM(E21:E30)</f>
        <v>80265.16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176834.83</v>
      </c>
      <c r="E47" s="95">
        <f>'DOE25'!H48</f>
        <v>0</v>
      </c>
      <c r="F47" s="95">
        <f>'DOE25'!I48</f>
        <v>0</v>
      </c>
      <c r="G47" s="95">
        <f>'DOE25'!J48</f>
        <v>840991.53999999992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604148.93000000005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724148.93</v>
      </c>
      <c r="D50" s="41">
        <f>SUM(D34:D49)</f>
        <v>176834.83</v>
      </c>
      <c r="E50" s="41">
        <f>SUM(E34:E49)</f>
        <v>0</v>
      </c>
      <c r="F50" s="41">
        <f>SUM(F34:F49)</f>
        <v>0</v>
      </c>
      <c r="G50" s="41">
        <f>SUM(G34:G49)</f>
        <v>840991.53999999992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1337945.3700000001</v>
      </c>
      <c r="D51" s="41">
        <f>D50+D31</f>
        <v>180777.56</v>
      </c>
      <c r="E51" s="41">
        <f>E50+E31</f>
        <v>80265.16</v>
      </c>
      <c r="F51" s="41">
        <f>F50+F31</f>
        <v>0</v>
      </c>
      <c r="G51" s="41">
        <f>G50+G31</f>
        <v>840991.53999999992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9831763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5815804.6800000006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14205.38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90.65</v>
      </c>
      <c r="E59" s="95">
        <f>'DOE25'!H96</f>
        <v>0</v>
      </c>
      <c r="F59" s="95">
        <f>'DOE25'!I96</f>
        <v>0</v>
      </c>
      <c r="G59" s="95">
        <f>'DOE25'!J96</f>
        <v>210.09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381078.65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157574.32</v>
      </c>
      <c r="D61" s="95">
        <f>SUM('DOE25'!G98:G110)</f>
        <v>0.05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5987584.3800000008</v>
      </c>
      <c r="D62" s="130">
        <f>SUM(D57:D61)</f>
        <v>381169.35000000003</v>
      </c>
      <c r="E62" s="130">
        <f>SUM(E57:E61)</f>
        <v>0</v>
      </c>
      <c r="F62" s="130">
        <f>SUM(F57:F61)</f>
        <v>0</v>
      </c>
      <c r="G62" s="130">
        <f>SUM(G57:G61)</f>
        <v>210.09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15819347.380000001</v>
      </c>
      <c r="D63" s="22">
        <f>D56+D62</f>
        <v>381169.35000000003</v>
      </c>
      <c r="E63" s="22">
        <f>E56+E62</f>
        <v>0</v>
      </c>
      <c r="F63" s="22">
        <f>F56+F62</f>
        <v>0</v>
      </c>
      <c r="G63" s="22">
        <f>G56+G62</f>
        <v>210.09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5708881.04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1348510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7059273.0200000005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199369.87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100273.5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18393.689999999999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8583.6200000000008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318037.06</v>
      </c>
      <c r="D78" s="130">
        <f>SUM(D72:D77)</f>
        <v>8583.6200000000008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7377310.0800000001</v>
      </c>
      <c r="D81" s="130">
        <f>SUM(D79:D80)+D78+D70</f>
        <v>8583.6200000000008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200346.17</v>
      </c>
      <c r="D88" s="95">
        <f>SUM('DOE25'!G153:G161)</f>
        <v>282296.78000000003</v>
      </c>
      <c r="E88" s="95">
        <f>SUM('DOE25'!H153:H161)</f>
        <v>382626.77999999997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200346.17</v>
      </c>
      <c r="D91" s="131">
        <f>SUM(D85:D90)</f>
        <v>282296.78000000003</v>
      </c>
      <c r="E91" s="131">
        <f>SUM(E85:E90)</f>
        <v>382626.77999999997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3545.87</v>
      </c>
      <c r="E96" s="95">
        <f>'DOE25'!H179</f>
        <v>0</v>
      </c>
      <c r="F96" s="95">
        <f>'DOE25'!I179</f>
        <v>0</v>
      </c>
      <c r="G96" s="95">
        <f>'DOE25'!J179</f>
        <v>210000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118500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115009.63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233509.63</v>
      </c>
      <c r="D103" s="86">
        <f>SUM(D93:D102)</f>
        <v>3545.87</v>
      </c>
      <c r="E103" s="86">
        <f>SUM(E93:E102)</f>
        <v>0</v>
      </c>
      <c r="F103" s="86">
        <f>SUM(F93:F102)</f>
        <v>0</v>
      </c>
      <c r="G103" s="86">
        <f>SUM(G93:G102)</f>
        <v>210000</v>
      </c>
    </row>
    <row r="104" spans="1:7" ht="12.75" thickTop="1" thickBot="1" x14ac:dyDescent="0.25">
      <c r="A104" s="33" t="s">
        <v>765</v>
      </c>
      <c r="C104" s="86">
        <f>C63+C81+C91+C103</f>
        <v>23630513.260000002</v>
      </c>
      <c r="D104" s="86">
        <f>D63+D81+D91+D103</f>
        <v>675595.62</v>
      </c>
      <c r="E104" s="86">
        <f>E63+E81+E91+E103</f>
        <v>382626.77999999997</v>
      </c>
      <c r="F104" s="86">
        <f>F63+F81+F91+F103</f>
        <v>0</v>
      </c>
      <c r="G104" s="86">
        <f>G63+G81+G103</f>
        <v>210210.09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9818040.0299999993</v>
      </c>
      <c r="D109" s="24" t="s">
        <v>289</v>
      </c>
      <c r="E109" s="95">
        <f>('DOE25'!L276)+('DOE25'!L295)+('DOE25'!L314)</f>
        <v>271859.67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4406629.5600000005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874460.56000000017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527681.22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24235.35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15626811.370000001</v>
      </c>
      <c r="D115" s="86">
        <f>SUM(D109:D114)</f>
        <v>0</v>
      </c>
      <c r="E115" s="86">
        <f>SUM(E109:E114)</f>
        <v>296095.01999999996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1624948.9300000002</v>
      </c>
      <c r="D118" s="24" t="s">
        <v>289</v>
      </c>
      <c r="E118" s="95">
        <f>+('DOE25'!L281)+('DOE25'!L300)+('DOE25'!L319)</f>
        <v>35551.32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486341.17000000004</v>
      </c>
      <c r="D119" s="24" t="s">
        <v>289</v>
      </c>
      <c r="E119" s="95">
        <f>+('DOE25'!L282)+('DOE25'!L301)+('DOE25'!L320)</f>
        <v>42785.89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676792.51</v>
      </c>
      <c r="D120" s="24" t="s">
        <v>289</v>
      </c>
      <c r="E120" s="95">
        <f>+('DOE25'!L283)+('DOE25'!L302)+('DOE25'!L321)</f>
        <v>8194.5499999999993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2005420.8599999999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1839134.8800000001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682391.15999999992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677916.16999999993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7315029.5100000007</v>
      </c>
      <c r="D128" s="86">
        <f>SUM(D118:D127)</f>
        <v>677916.16999999993</v>
      </c>
      <c r="E128" s="86">
        <f>SUM(E118:E127)</f>
        <v>86531.76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750933.38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19550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122509.63</v>
      </c>
    </row>
    <row r="135" spans="1:7" x14ac:dyDescent="0.2">
      <c r="A135" t="s">
        <v>233</v>
      </c>
      <c r="B135" s="32" t="s">
        <v>234</v>
      </c>
      <c r="C135" s="95">
        <f>'DOE25'!L263</f>
        <v>3545.87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50155.66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160054.43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-210.08999999999651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19689.439999999999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1053718.6900000002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122509.63</v>
      </c>
    </row>
    <row r="145" spans="1:9" ht="12.75" thickTop="1" thickBot="1" x14ac:dyDescent="0.25">
      <c r="A145" s="33" t="s">
        <v>244</v>
      </c>
      <c r="C145" s="86">
        <f>(C115+C128+C144)</f>
        <v>23995559.570000004</v>
      </c>
      <c r="D145" s="86">
        <f>(D115+D128+D144)</f>
        <v>677916.16999999993</v>
      </c>
      <c r="E145" s="86">
        <f>(E115+E128+E144)</f>
        <v>382626.77999999997</v>
      </c>
      <c r="F145" s="86">
        <f>(F115+F128+F144)</f>
        <v>0</v>
      </c>
      <c r="G145" s="86">
        <f>(G115+G128+G144)</f>
        <v>122509.63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Pembroke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14997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12991</v>
      </c>
    </row>
    <row r="7" spans="1:4" x14ac:dyDescent="0.2">
      <c r="B7" t="s">
        <v>705</v>
      </c>
      <c r="C7" s="179">
        <f>IF('DOE25'!I665+'DOE25'!I670=0,0,ROUND('DOE25'!I672,0))</f>
        <v>13979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10089900</v>
      </c>
      <c r="D10" s="182">
        <f>ROUND((C10/$C$28)*100,1)</f>
        <v>42.6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4406630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874461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527681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1660500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529127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684987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2005421</v>
      </c>
      <c r="D18" s="182">
        <f t="shared" si="0"/>
        <v>8.5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1839135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682391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24235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19550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19689.439999999999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296837.3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23660544.740000002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750933</v>
      </c>
    </row>
    <row r="30" spans="1:4" x14ac:dyDescent="0.2">
      <c r="B30" s="187" t="s">
        <v>729</v>
      </c>
      <c r="C30" s="180">
        <f>SUM(C28:C29)</f>
        <v>24411477.740000002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9831763</v>
      </c>
      <c r="D35" s="182">
        <f t="shared" ref="D35:D40" si="1">ROUND((C35/$C$41)*100,1)</f>
        <v>40.799999999999997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5987885.120000001</v>
      </c>
      <c r="D36" s="182">
        <f t="shared" si="1"/>
        <v>24.9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7057391</v>
      </c>
      <c r="D37" s="182">
        <f t="shared" si="1"/>
        <v>29.3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328503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865270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24070812.120000001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Pembroke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2016-10-24T17:23:25Z</cp:lastPrinted>
  <dcterms:created xsi:type="dcterms:W3CDTF">1997-12-04T19:04:30Z</dcterms:created>
  <dcterms:modified xsi:type="dcterms:W3CDTF">2016-12-01T18:42:12Z</dcterms:modified>
</cp:coreProperties>
</file>