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E120" i="2"/>
  <c r="C121" i="2"/>
  <c r="E121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9" i="1"/>
  <c r="G650" i="1"/>
  <c r="G651" i="1"/>
  <c r="J651" i="1" s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I476" i="1"/>
  <c r="H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C16" i="13"/>
  <c r="H33" i="13"/>
  <c r="J644" i="1" l="1"/>
  <c r="A13" i="12"/>
  <c r="L614" i="1"/>
  <c r="K598" i="1"/>
  <c r="G647" i="1" s="1"/>
  <c r="C124" i="2"/>
  <c r="C17" i="10"/>
  <c r="L247" i="1"/>
  <c r="I52" i="1"/>
  <c r="H620" i="1" s="1"/>
  <c r="J620" i="1" s="1"/>
  <c r="J625" i="1"/>
  <c r="H52" i="1"/>
  <c r="H619" i="1" s="1"/>
  <c r="H257" i="1"/>
  <c r="H271" i="1" s="1"/>
  <c r="D15" i="13"/>
  <c r="C15" i="13" s="1"/>
  <c r="H647" i="1"/>
  <c r="F662" i="1"/>
  <c r="I662" i="1" s="1"/>
  <c r="L211" i="1"/>
  <c r="L257" i="1" s="1"/>
  <c r="L271" i="1" s="1"/>
  <c r="G632" i="1" s="1"/>
  <c r="J632" i="1" s="1"/>
  <c r="J622" i="1"/>
  <c r="J649" i="1"/>
  <c r="K552" i="1"/>
  <c r="H660" i="1"/>
  <c r="H664" i="1" s="1"/>
  <c r="H672" i="1" s="1"/>
  <c r="C6" i="10" s="1"/>
  <c r="E33" i="13"/>
  <c r="D35" i="13" s="1"/>
  <c r="C120" i="2"/>
  <c r="C128" i="2" s="1"/>
  <c r="F660" i="1"/>
  <c r="F664" i="1" s="1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H646" i="1" l="1"/>
  <c r="J647" i="1"/>
  <c r="F51" i="2"/>
  <c r="C145" i="2"/>
  <c r="H667" i="1"/>
  <c r="C104" i="2"/>
  <c r="I660" i="1"/>
  <c r="I664" i="1" s="1"/>
  <c r="I672" i="1" s="1"/>
  <c r="C7" i="10" s="1"/>
  <c r="F672" i="1"/>
  <c r="C4" i="10" s="1"/>
  <c r="F667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<sst xmlns="http://schemas.openxmlformats.org/spreadsheetml/2006/main" count="3962" uniqueCount="913">
  <si>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</si>
  <si>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</si>
  <si>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</si>
  <si>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</si>
  <si>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</si>
  <si>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</si>
  <si>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</si>
  <si>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</si>
  <si>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</si>
  <si>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</si>
  <si>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</si>
  <si>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</si>
  <si>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</si>
  <si>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</si>
  <si>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</si>
  <si>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</si>
  <si>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</si>
  <si>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</si>
  <si>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</si>
  <si>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</si>
  <si>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</si>
  <si>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</si>
  <si>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</si>
  <si>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</si>
  <si>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</si>
  <si>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</si>
  <si>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</si>
  <si>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</si>
  <si>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</si>
  <si>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</si>
  <si>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</si>
  <si>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</si>
  <si>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</si>
  <si>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</si>
  <si>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</si>
  <si>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</si>
  <si>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</si>
  <si>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</si>
  <si>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</si>
  <si>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</si>
  <si>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</si>
  <si>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</si>
  <si>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</si>
  <si>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</si>
  <si>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</si>
  <si>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</si>
  <si>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</si>
  <si>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</si>
  <si>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</si>
  <si>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</si>
  <si>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</si>
  <si>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</si>
  <si>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</si>
  <si>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</si>
  <si>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</si>
  <si>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</si>
  <si>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</si>
  <si>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</si>
  <si>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</si>
  <si>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</si>
  <si>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</si>
  <si>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</si>
  <si>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</si>
  <si>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</si>
  <si>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</si>
  <si>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</si>
  <si>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</si>
  <si>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</si>
  <si>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</si>
  <si>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</si>
  <si>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</si>
  <si>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</si>
  <si>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</si>
  <si>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</si>
  <si>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</si>
  <si>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</si>
  <si>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</si>
  <si>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</si>
  <si>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</si>
  <si>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</si>
  <si>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</si>
  <si>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</si>
  <si>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</si>
  <si>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</si>
  <si>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</si>
  <si>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</si>
  <si>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</si>
  <si>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</si>
  <si>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</si>
  <si>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</si>
  <si>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</si>
  <si>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</si>
  <si>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</si>
  <si>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</si>
  <si>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</si>
  <si>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</si>
  <si>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</si>
  <si>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</si>
  <si>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</si>
  <si>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</si>
  <si>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</si>
  <si>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</si>
  <si>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</si>
  <si>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</si>
  <si>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</si>
  <si>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</si>
  <si>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</si>
  <si>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</si>
  <si>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</si>
  <si>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</si>
  <si>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</si>
  <si>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</si>
  <si>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</si>
  <si>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</si>
  <si>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</si>
  <si>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</si>
  <si>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</si>
  <si>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</si>
  <si>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</si>
  <si>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</si>
  <si>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</si>
  <si>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</si>
  <si>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</si>
  <si>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</si>
  <si>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</si>
  <si>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</si>
  <si>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</si>
  <si>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</si>
  <si>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</si>
  <si>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</si>
  <si>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</si>
  <si>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</si>
  <si>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</si>
  <si>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</si>
  <si>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</si>
  <si>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</si>
  <si>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</si>
  <si>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</si>
  <si>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</si>
  <si>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</si>
  <si>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</si>
  <si>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</si>
  <si>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</si>
  <si>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</si>
  <si>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</si>
  <si>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</si>
  <si>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</si>
  <si>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</si>
  <si>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</si>
  <si>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</si>
  <si>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</si>
  <si>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</si>
  <si>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</si>
  <si>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</si>
  <si>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</si>
  <si>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</si>
  <si>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</si>
  <si>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</si>
  <si>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</si>
  <si>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</si>
  <si>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</si>
  <si>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</si>
  <si>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</si>
  <si>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</si>
  <si>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</si>
  <si>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</si>
  <si>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</si>
  <si>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</si>
  <si>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</si>
  <si>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</si>
  <si>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</si>
  <si>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</si>
  <si>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</si>
  <si>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</si>
  <si>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</si>
  <si>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</si>
  <si>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</si>
  <si>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</si>
  <si>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</si>
  <si>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</si>
  <si>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</si>
  <si>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</si>
  <si>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</si>
  <si>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</si>
  <si>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</si>
  <si>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</si>
  <si>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</si>
  <si>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</si>
  <si>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</si>
  <si>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</si>
  <si>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</si>
  <si>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</si>
  <si>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</si>
  <si>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</si>
  <si>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</si>
  <si>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</si>
  <si>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</si>
  <si>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</si>
  <si>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</si>
  <si>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</si>
  <si>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</si>
  <si>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</si>
  <si>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</si>
  <si>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</si>
  <si>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</si>
  <si>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</si>
  <si>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</si>
  <si>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</si>
  <si>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</si>
  <si>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</si>
  <si>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</si>
  <si>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</si>
  <si>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</si>
  <si>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</si>
  <si>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</si>
  <si>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</si>
  <si>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</si>
  <si>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</si>
  <si>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</si>
  <si>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</si>
  <si>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</si>
  <si>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</si>
  <si>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</si>
  <si>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</si>
  <si>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</si>
  <si>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</si>
  <si>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</si>
  <si>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</si>
  <si>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</si>
  <si>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</si>
  <si>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</si>
  <si>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</si>
  <si>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</si>
  <si>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</si>
  <si>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</si>
  <si>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</si>
  <si>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</si>
  <si>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</si>
  <si>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</si>
  <si>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</si>
  <si>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</si>
  <si>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</si>
  <si>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</si>
  <si>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</si>
  <si>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</si>
  <si>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</si>
  <si>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</si>
  <si>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</si>
  <si>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</si>
  <si>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</si>
  <si>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</si>
  <si>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</si>
  <si>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</si>
  <si>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</si>
  <si>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</si>
  <si>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</si>
  <si>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</si>
  <si>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</si>
  <si>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</si>
  <si>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</si>
  <si>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</si>
  <si>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</si>
  <si>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</si>
  <si>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</si>
  <si>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</si>
  <si>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</si>
  <si>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</si>
  <si>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</si>
  <si>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</si>
  <si>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</si>
  <si>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</si>
  <si>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</si>
  <si>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</si>
  <si>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</si>
  <si>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</si>
  <si>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</si>
  <si>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</si>
  <si>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</si>
  <si>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</si>
  <si>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</si>
  <si>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</si>
  <si>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</si>
  <si>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</si>
  <si>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</si>
  <si>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</si>
  <si>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</si>
  <si>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</si>
  <si>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</si>
  <si>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</si>
  <si>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</si>
  <si>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</si>
  <si>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</si>
  <si>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</si>
  <si>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</si>
  <si>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</si>
  <si>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</si>
  <si>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</si>
  <si>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</si>
  <si>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</si>
  <si>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</si>
  <si>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</si>
  <si>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</si>
  <si>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</si>
  <si>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</si>
  <si>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</si>
  <si>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</si>
  <si>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</si>
  <si>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</si>
  <si>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</si>
  <si>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</si>
  <si>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</si>
  <si>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</si>
  <si>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</si>
  <si>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</si>
  <si>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</si>
  <si>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</si>
  <si>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</si>
  <si>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</si>
  <si>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</si>
  <si>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</si>
  <si>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</si>
  <si>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</si>
  <si>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</si>
  <si>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</si>
  <si>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</si>
  <si>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</si>
  <si>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</si>
  <si>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</si>
  <si>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</si>
  <si>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</si>
  <si>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</si>
  <si>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</si>
  <si>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</si>
  <si>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</si>
  <si>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</si>
  <si>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</si>
  <si>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</si>
  <si>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</si>
  <si>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</si>
  <si>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</si>
  <si>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</si>
  <si>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</si>
  <si>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</si>
  <si>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</si>
  <si>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</si>
  <si>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</si>
  <si>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</si>
  <si>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</si>
  <si>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</si>
  <si>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</si>
  <si>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</si>
  <si>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</si>
  <si>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</si>
  <si>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</si>
  <si>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</si>
  <si>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</si>
  <si>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</si>
  <si>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</si>
  <si>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</si>
  <si>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</si>
  <si>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</si>
  <si>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</si>
  <si>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</si>
  <si>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</si>
  <si>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</si>
  <si>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</si>
  <si>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</si>
  <si>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</si>
  <si>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</si>
  <si>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</si>
  <si>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</si>
  <si>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</si>
  <si>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</si>
  <si>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</si>
  <si>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</si>
  <si>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</si>
  <si>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</si>
  <si>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</si>
  <si>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</si>
  <si>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</si>
  <si>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</si>
  <si>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</si>
  <si>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</si>
  <si>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</si>
  <si>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</si>
  <si>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</si>
  <si>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</si>
  <si>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</si>
  <si>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</si>
  <si>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</si>
  <si>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</si>
  <si>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</si>
  <si>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</si>
  <si>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</si>
  <si>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</si>
  <si>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</si>
  <si>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</si>
  <si>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</si>
  <si>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</si>
  <si>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</si>
  <si>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</si>
  <si>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</si>
  <si>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</si>
  <si>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</si>
  <si>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</si>
  <si>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</si>
  <si>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</si>
  <si>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</si>
  <si>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</si>
  <si>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</si>
  <si>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</si>
  <si>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</si>
  <si>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</si>
  <si>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</si>
  <si>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</si>
  <si>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</si>
  <si>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</si>
  <si>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</si>
  <si>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</si>
  <si>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</si>
  <si>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</si>
  <si>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</si>
  <si>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</si>
  <si>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</si>
  <si>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</si>
  <si>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</si>
  <si>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</si>
  <si>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</si>
  <si>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</si>
  <si>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</si>
  <si>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</si>
  <si>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</si>
  <si>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</si>
  <si>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</si>
  <si>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</si>
  <si>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</si>
  <si>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</si>
  <si>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</si>
  <si>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</si>
  <si>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</si>
  <si>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</si>
  <si>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</si>
  <si>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</si>
  <si>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</si>
  <si>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</si>
  <si>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</si>
  <si>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</si>
  <si>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</si>
  <si>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</si>
  <si>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</si>
  <si>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</si>
  <si>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</si>
  <si>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</si>
  <si>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</si>
  <si>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</si>
  <si>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</si>
  <si>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</si>
  <si>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</si>
  <si>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</si>
  <si>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</si>
  <si>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</si>
  <si>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</si>
  <si>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</si>
  <si>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</si>
  <si>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</si>
  <si>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</si>
  <si>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</si>
  <si>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</si>
  <si>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</si>
  <si>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</si>
  <si>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</si>
  <si>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</si>
  <si>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</si>
  <si>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</si>
  <si>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</si>
  <si>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</si>
  <si>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</si>
  <si>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</si>
  <si>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</si>
  <si>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</si>
  <si>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</si>
  <si>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</si>
  <si>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</si>
  <si>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</si>
  <si>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</si>
  <si>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</si>
  <si>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</si>
  <si>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</si>
  <si>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</si>
  <si>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</si>
  <si>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</si>
  <si>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</si>
  <si>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</si>
  <si>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</si>
  <si>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</si>
  <si>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</si>
  <si>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</si>
  <si>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</si>
  <si>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</si>
  <si>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</si>
  <si>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</si>
  <si>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</si>
  <si>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</si>
  <si>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</si>
  <si>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</si>
  <si>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</si>
  <si>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</si>
  <si>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</si>
  <si>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</si>
  <si>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</si>
  <si>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</si>
  <si>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</si>
  <si>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</si>
  <si>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</si>
  <si>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</si>
  <si>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</si>
  <si>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</si>
  <si>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</si>
  <si>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</si>
  <si>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</si>
  <si>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</si>
  <si>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</si>
  <si>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</si>
  <si>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</si>
  <si>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</si>
  <si>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</si>
  <si>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</si>
  <si>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</si>
  <si>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</si>
  <si>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</si>
  <si>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</si>
  <si>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</si>
  <si>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</si>
  <si>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</si>
  <si>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</si>
  <si>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</si>
  <si>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</si>
  <si>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</si>
  <si>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</si>
  <si>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</si>
  <si>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</si>
  <si>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</si>
  <si>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</si>
  <si>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</si>
  <si>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</si>
  <si>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</si>
  <si>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</si>
  <si>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</si>
  <si>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</si>
  <si>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</si>
  <si>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</si>
  <si>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</si>
  <si>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</si>
  <si>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</si>
  <si>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</si>
  <si>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</si>
  <si>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</si>
  <si>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</si>
  <si>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</si>
  <si>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</si>
  <si>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</si>
  <si>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</si>
  <si>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</si>
  <si>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</si>
  <si>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</si>
  <si>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</si>
  <si>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</si>
  <si>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</si>
  <si>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</si>
  <si>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</si>
  <si>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</si>
  <si>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</si>
  <si>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</si>
  <si>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</si>
  <si>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</si>
  <si>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</si>
  <si>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</si>
  <si>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</si>
  <si>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</si>
  <si>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</si>
  <si>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</si>
  <si>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</si>
  <si>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</si>
  <si>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</si>
  <si>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</si>
  <si>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</si>
  <si>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</si>
  <si>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</si>
  <si>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</si>
  <si>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</si>
  <si>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</si>
  <si>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</si>
  <si>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</si>
  <si>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</si>
  <si>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</si>
  <si>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</si>
  <si>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</si>
  <si>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</si>
  <si>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</si>
  <si>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</si>
  <si>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</si>
  <si>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</si>
  <si>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</si>
  <si>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</si>
  <si>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</si>
  <si>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</si>
  <si>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</si>
  <si>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</si>
  <si>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</si>
  <si>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</si>
  <si>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</si>
  <si>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</si>
  <si>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</si>
  <si>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</si>
  <si>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</si>
  <si>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</si>
  <si>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</si>
  <si>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</si>
  <si>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</si>
  <si>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</si>
  <si>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</si>
  <si>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</si>
  <si>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</si>
  <si>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</si>
  <si>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</si>
  <si>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</si>
  <si>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</si>
  <si>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</si>
  <si>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</si>
  <si>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</si>
  <si>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</si>
  <si>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</si>
  <si>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</si>
  <si>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</si>
  <si>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</si>
  <si>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</si>
  <si>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</si>
  <si>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</si>
  <si>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</si>
  <si>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</si>
  <si>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</si>
  <si>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</si>
  <si>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</si>
  <si>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</si>
  <si>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</si>
  <si>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</si>
  <si>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</si>
  <si>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</si>
  <si>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</si>
  <si>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</si>
  <si>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</si>
  <si>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</si>
  <si>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</si>
  <si>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</si>
  <si>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</si>
  <si>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</si>
  <si>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</si>
  <si>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</si>
  <si>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</si>
  <si>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</si>
  <si>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</si>
  <si>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</si>
  <si>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</si>
  <si>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</si>
  <si>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</si>
  <si>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</si>
  <si>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</si>
  <si>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</si>
  <si>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</si>
  <si>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</si>
  <si>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</si>
  <si>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</si>
  <si>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</si>
  <si>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</si>
  <si>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</si>
  <si>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</si>
  <si>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</si>
  <si>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</si>
  <si>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</si>
  <si>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</si>
  <si>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</si>
  <si>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</si>
  <si>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</si>
  <si>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</si>
  <si>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</si>
  <si>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</si>
  <si>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</si>
  <si>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</si>
  <si>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</si>
  <si>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</si>
  <si>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</si>
  <si>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</si>
  <si>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</si>
  <si>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</si>
  <si>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</si>
  <si>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</si>
  <si>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</si>
  <si>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</si>
  <si>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</si>
  <si>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</si>
  <si>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</si>
  <si>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</si>
  <si>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</si>
  <si>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</si>
  <si>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</si>
  <si>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</si>
  <si>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</si>
  <si>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</si>
  <si>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</si>
  <si>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</si>
  <si>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</si>
  <si>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</si>
  <si>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</si>
  <si>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</si>
  <si>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</si>
  <si>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</si>
  <si>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</si>
  <si>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</si>
  <si>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</si>
  <si>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</si>
  <si>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</si>
  <si>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</si>
  <si>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</si>
  <si>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</si>
  <si>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</si>
  <si>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</si>
  <si>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</si>
  <si>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</si>
  <si>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</si>
  <si>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</si>
  <si>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</si>
  <si>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</si>
  <si>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</si>
  <si>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</si>
  <si>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</si>
  <si>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</si>
  <si>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</si>
  <si>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</si>
  <si>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</si>
  <si>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</si>
  <si>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</si>
  <si>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</si>
  <si>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</si>
  <si>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</si>
  <si>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</si>
  <si>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</si>
  <si>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</si>
  <si>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</si>
  <si>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</si>
  <si>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</si>
  <si>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</si>
  <si>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</si>
  <si>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</si>
  <si>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</si>
  <si>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</si>
  <si>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</si>
  <si>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</si>
  <si>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</si>
  <si>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</si>
  <si>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</si>
  <si>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</si>
  <si>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</si>
  <si>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</si>
  <si>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</si>
  <si>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</si>
  <si>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</si>
  <si>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</si>
  <si>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</si>
  <si>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</si>
  <si>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</si>
  <si>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</si>
  <si>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</si>
  <si>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</si>
  <si>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</si>
  <si>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</si>
  <si>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</si>
  <si>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</si>
  <si>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</si>
  <si>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</si>
  <si>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</si>
  <si>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</si>
  <si>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</si>
  <si>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</si>
  <si>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</si>
  <si>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</si>
  <si>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</si>
  <si>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</si>
  <si>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</si>
  <si>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</si>
  <si>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</si>
  <si>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</si>
  <si>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</si>
  <si>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</si>
  <si>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</si>
  <si>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</si>
  <si>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</si>
  <si>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</si>
  <si>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</si>
  <si>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</si>
  <si>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</si>
  <si>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</si>
  <si>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</si>
  <si>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</si>
  <si>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</si>
  <si>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</si>
  <si>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</si>
  <si>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</si>
  <si>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</si>
  <si>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</si>
  <si>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</si>
  <si>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</si>
  <si>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</si>
  <si>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</si>
  <si>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</si>
  <si>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</si>
  <si>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</si>
  <si>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</si>
  <si>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</si>
  <si>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</si>
  <si>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</si>
  <si>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</si>
  <si>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</si>
  <si>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</si>
  <si>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</si>
  <si>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</si>
  <si>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</si>
  <si>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</si>
  <si>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</si>
  <si>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</si>
  <si>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</si>
  <si>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</si>
  <si>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</si>
  <si>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</si>
  <si>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</si>
  <si>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</si>
  <si>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</si>
  <si>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</si>
  <si>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</si>
  <si>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</si>
  <si>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</si>
  <si>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</si>
  <si>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</si>
  <si>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</si>
  <si>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</si>
  <si>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</si>
  <si>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</si>
  <si>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</si>
  <si>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</si>
  <si>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</si>
  <si>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</si>
  <si>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</si>
  <si>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</si>
  <si>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</si>
  <si>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</si>
  <si>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</si>
  <si>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</si>
  <si>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</si>
  <si>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</si>
  <si>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</si>
  <si>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</si>
  <si>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</si>
  <si>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</si>
  <si>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</si>
  <si>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</si>
  <si>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</si>
  <si>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</si>
  <si>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</si>
  <si>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</si>
  <si>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</si>
  <si>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</si>
  <si>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</si>
  <si>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</si>
  <si>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</si>
  <si>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</si>
  <si>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</si>
  <si>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</si>
  <si>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</si>
  <si>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</si>
  <si>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</si>
  <si>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</si>
  <si>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</si>
  <si>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</si>
  <si>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</si>
  <si>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</si>
  <si>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</si>
  <si>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</si>
  <si>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</si>
  <si>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</si>
  <si>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</si>
  <si>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</si>
  <si>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</si>
  <si>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</si>
  <si>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</si>
  <si>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</si>
  <si>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</si>
  <si>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</si>
  <si>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</si>
  <si>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</si>
  <si>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</si>
  <si>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</si>
  <si>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</si>
  <si>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</si>
  <si>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</si>
  <si>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</si>
  <si>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</si>
  <si>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</si>
  <si>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</si>
  <si>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</si>
  <si>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</si>
  <si>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</si>
  <si>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</si>
  <si>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</si>
  <si>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PEMI-BAKER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</si>
</sst>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428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1128397.46</v>
      </c>
      <c r="G9" s="18">
        <v>-22753.11</v>
      </c>
      <c r="H9" s="18">
        <v>-91099.12</v>
      </c>
      <c r="I9" s="18">
        <v>8173.72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3319.39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65000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39116.959999999999</v>
      </c>
      <c r="G13" s="18">
        <v>20022.29</v>
      </c>
      <c r="H13" s="18">
        <v>108257.51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5071.05</v>
      </c>
      <c r="G14" s="18">
        <v>24002.6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1237585.47</v>
      </c>
      <c r="G19" s="41">
        <f>SUM(G9:G18)</f>
        <v>21271.78</v>
      </c>
      <c r="H19" s="41">
        <f>SUM(H9:H18)</f>
        <v>17158.39</v>
      </c>
      <c r="I19" s="41">
        <f>SUM(I9:I18)</f>
        <v>8173.72</v>
      </c>
      <c r="J19" s="41">
        <f>SUM(J9:J18)</f>
        <v>3319.39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215015.76</v>
      </c>
      <c r="G24" s="18"/>
      <c r="H24" s="18">
        <v>17158.39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 t="s">
        <v>287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215015.76</v>
      </c>
      <c r="G32" s="41">
        <f>SUM(G22:G31)</f>
        <v>0</v>
      </c>
      <c r="H32" s="41">
        <f>SUM(H22:H31)</f>
        <v>17158.39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 t="s">
        <v>287</v>
      </c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718889.55</v>
      </c>
      <c r="G45" s="18"/>
      <c r="H45" s="18"/>
      <c r="I45" s="18" t="s">
        <v>287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103680.16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8173.72</v>
      </c>
      <c r="J48" s="13">
        <f>SUM(I459)</f>
        <v>3319.39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21271.78</v>
      </c>
      <c r="H49" s="18"/>
      <c r="I49" s="18" t="s">
        <v>287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200000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1022569.7100000001</v>
      </c>
      <c r="G51" s="41">
        <f>SUM(G35:G50)</f>
        <v>21271.78</v>
      </c>
      <c r="H51" s="41">
        <f>SUM(H35:H50)</f>
        <v>0</v>
      </c>
      <c r="I51" s="41">
        <f>SUM(I35:I50)</f>
        <v>8173.72</v>
      </c>
      <c r="J51" s="41">
        <f>SUM(J35:J50)</f>
        <v>3319.39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1237585.4700000002</v>
      </c>
      <c r="G52" s="41">
        <f>G51+G32</f>
        <v>21271.78</v>
      </c>
      <c r="H52" s="41">
        <f>H51+H32</f>
        <v>17158.39</v>
      </c>
      <c r="I52" s="41">
        <f>I51+I32</f>
        <v>8173.72</v>
      </c>
      <c r="J52" s="41">
        <f>J51+J32</f>
        <v>3319.39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7550265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7550265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522976.55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16508.22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539484.77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592.37</v>
      </c>
      <c r="G96" s="18"/>
      <c r="H96" s="18"/>
      <c r="I96" s="18"/>
      <c r="J96" s="18">
        <v>10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191159.58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>
        <v>77641.119999999995</v>
      </c>
      <c r="J102" s="18" t="s">
        <v>287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17962.28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75481.679999999993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94036.329999999987</v>
      </c>
      <c r="G111" s="41">
        <f>SUM(G96:G110)</f>
        <v>191159.58</v>
      </c>
      <c r="H111" s="41">
        <f>SUM(H96:H110)</f>
        <v>0</v>
      </c>
      <c r="I111" s="41">
        <f>SUM(I96:I110)</f>
        <v>77641.119999999995</v>
      </c>
      <c r="J111" s="41">
        <f>SUM(J96:J110)</f>
        <v>10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8183786.0999999996</v>
      </c>
      <c r="G112" s="41">
        <f>G60+G111</f>
        <v>191159.58</v>
      </c>
      <c r="H112" s="41">
        <f>H60+H79+H94+H111</f>
        <v>0</v>
      </c>
      <c r="I112" s="41">
        <f>I60+I111</f>
        <v>77641.119999999995</v>
      </c>
      <c r="J112" s="41">
        <f>J60+J111</f>
        <v>10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2398368.0299999998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1928682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4327050.0299999993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103668.22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57324.74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3120.9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160992.95999999999</v>
      </c>
      <c r="G136" s="41">
        <f>SUM(G123:G135)</f>
        <v>3120.9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4488042.9899999993</v>
      </c>
      <c r="G140" s="41">
        <f>G121+SUM(G136:G137)</f>
        <v>3120.9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277592.48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25674.26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82792.14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3013.68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128847.95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110657.87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110657.87</v>
      </c>
      <c r="G162" s="41">
        <f>SUM(G150:G161)</f>
        <v>128847.95</v>
      </c>
      <c r="H162" s="41">
        <f>SUM(H150:H161)</f>
        <v>389072.56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 t="s">
        <v>287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110657.87</v>
      </c>
      <c r="G169" s="41">
        <f>G147+G162+SUM(G163:G168)</f>
        <v>128847.95</v>
      </c>
      <c r="H169" s="41">
        <f>H147+H162+SUM(H163:H168)</f>
        <v>389072.56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12782486.959999999</v>
      </c>
      <c r="G193" s="47">
        <f>G112+G140+G169+G192</f>
        <v>323128.43</v>
      </c>
      <c r="H193" s="47">
        <f>H112+H140+H169+H192</f>
        <v>389072.56</v>
      </c>
      <c r="I193" s="47">
        <f>I112+I140+I169+I192</f>
        <v>77641.119999999995</v>
      </c>
      <c r="J193" s="47">
        <f>J112+J140+J192</f>
        <v>10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2606030.16</v>
      </c>
      <c r="G233" s="18">
        <v>1244364.92</v>
      </c>
      <c r="H233" s="18">
        <v>105497.59</v>
      </c>
      <c r="I233" s="18">
        <v>105533.87</v>
      </c>
      <c r="J233" s="18">
        <v>175519.15</v>
      </c>
      <c r="K233" s="18">
        <v>550</v>
      </c>
      <c r="L233" s="19">
        <f>SUM(F233:K233)</f>
        <v>4237495.6900000004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803628.53</v>
      </c>
      <c r="G234" s="18">
        <v>485812.42</v>
      </c>
      <c r="H234" s="18">
        <v>871498.19</v>
      </c>
      <c r="I234" s="18">
        <v>11984.74</v>
      </c>
      <c r="J234" s="18">
        <v>5202</v>
      </c>
      <c r="K234" s="18">
        <v>110</v>
      </c>
      <c r="L234" s="19">
        <f>SUM(F234:K234)</f>
        <v>2178235.88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259137.08</v>
      </c>
      <c r="G235" s="18">
        <v>110420.67</v>
      </c>
      <c r="H235" s="18">
        <v>7903.81</v>
      </c>
      <c r="I235" s="18">
        <v>24587.33</v>
      </c>
      <c r="J235" s="18">
        <v>14931.75</v>
      </c>
      <c r="K235" s="18">
        <v>1277</v>
      </c>
      <c r="L235" s="19">
        <f>SUM(F235:K235)</f>
        <v>418257.64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252623.05</v>
      </c>
      <c r="G236" s="18">
        <v>51002.78</v>
      </c>
      <c r="H236" s="18">
        <v>99851</v>
      </c>
      <c r="I236" s="18">
        <v>48578.01</v>
      </c>
      <c r="J236" s="18">
        <v>21606.33</v>
      </c>
      <c r="K236" s="18">
        <v>19260</v>
      </c>
      <c r="L236" s="19">
        <f>SUM(F236:K236)</f>
        <v>492921.17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596183.44999999995</v>
      </c>
      <c r="G238" s="18">
        <v>277921.81</v>
      </c>
      <c r="H238" s="18">
        <v>163831.15</v>
      </c>
      <c r="I238" s="18">
        <v>7083.59</v>
      </c>
      <c r="J238" s="18">
        <v>126.58</v>
      </c>
      <c r="K238" s="18">
        <v>1374</v>
      </c>
      <c r="L238" s="19">
        <f t="shared" ref="L238:L244" si="4">SUM(F238:K238)</f>
        <v>1046520.58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168117.46</v>
      </c>
      <c r="G239" s="18">
        <v>134368.68</v>
      </c>
      <c r="H239" s="18">
        <v>4130.59</v>
      </c>
      <c r="I239" s="18">
        <v>26443.48</v>
      </c>
      <c r="J239" s="18">
        <v>6096.05</v>
      </c>
      <c r="K239" s="18"/>
      <c r="L239" s="19">
        <f t="shared" si="4"/>
        <v>339156.26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274235.71000000002</v>
      </c>
      <c r="G240" s="18">
        <v>152733.35</v>
      </c>
      <c r="H240" s="18">
        <v>428277.92</v>
      </c>
      <c r="I240" s="18">
        <v>3283.57</v>
      </c>
      <c r="J240" s="18"/>
      <c r="K240" s="18">
        <v>4702.9799999999996</v>
      </c>
      <c r="L240" s="19">
        <f t="shared" si="4"/>
        <v>863233.52999999991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351498.65</v>
      </c>
      <c r="G241" s="18">
        <v>217954.88</v>
      </c>
      <c r="H241" s="18">
        <v>16061.91</v>
      </c>
      <c r="I241" s="18">
        <v>2912.6</v>
      </c>
      <c r="J241" s="18"/>
      <c r="K241" s="18">
        <v>19953.650000000001</v>
      </c>
      <c r="L241" s="19">
        <f t="shared" si="4"/>
        <v>608381.69000000006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1817.19</v>
      </c>
      <c r="I242" s="18"/>
      <c r="J242" s="18"/>
      <c r="K242" s="18"/>
      <c r="L242" s="19">
        <f t="shared" si="4"/>
        <v>1817.19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418234.87</v>
      </c>
      <c r="G243" s="18">
        <v>197090.31</v>
      </c>
      <c r="H243" s="18">
        <v>368285.78</v>
      </c>
      <c r="I243" s="18">
        <v>409541.36</v>
      </c>
      <c r="J243" s="18">
        <v>50389.86</v>
      </c>
      <c r="K243" s="18"/>
      <c r="L243" s="19">
        <f t="shared" si="4"/>
        <v>1443542.18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633077.37</v>
      </c>
      <c r="I244" s="18"/>
      <c r="J244" s="18"/>
      <c r="K244" s="18"/>
      <c r="L244" s="19">
        <f t="shared" si="4"/>
        <v>633077.37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5729688.9600000009</v>
      </c>
      <c r="G247" s="41">
        <f t="shared" si="5"/>
        <v>2871669.82</v>
      </c>
      <c r="H247" s="41">
        <f t="shared" si="5"/>
        <v>2700232.4999999995</v>
      </c>
      <c r="I247" s="41">
        <f t="shared" si="5"/>
        <v>639948.55000000005</v>
      </c>
      <c r="J247" s="41">
        <f t="shared" si="5"/>
        <v>273871.71999999997</v>
      </c>
      <c r="K247" s="41">
        <f t="shared" si="5"/>
        <v>47227.630000000005</v>
      </c>
      <c r="L247" s="41">
        <f t="shared" si="5"/>
        <v>12262639.179999998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398893.34</v>
      </c>
      <c r="I255" s="18"/>
      <c r="J255" s="18"/>
      <c r="K255" s="18"/>
      <c r="L255" s="19">
        <f t="shared" si="6"/>
        <v>398893.34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398893.34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398893.34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5729688.9600000009</v>
      </c>
      <c r="G257" s="41">
        <f t="shared" si="8"/>
        <v>2871669.82</v>
      </c>
      <c r="H257" s="41">
        <f t="shared" si="8"/>
        <v>3099125.8399999994</v>
      </c>
      <c r="I257" s="41">
        <f t="shared" si="8"/>
        <v>639948.55000000005</v>
      </c>
      <c r="J257" s="41">
        <f t="shared" si="8"/>
        <v>273871.71999999997</v>
      </c>
      <c r="K257" s="41">
        <f t="shared" si="8"/>
        <v>47227.630000000005</v>
      </c>
      <c r="L257" s="41">
        <f t="shared" si="8"/>
        <v>12661532.519999998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5729688.9600000009</v>
      </c>
      <c r="G271" s="42">
        <f t="shared" si="11"/>
        <v>2871669.82</v>
      </c>
      <c r="H271" s="42">
        <f t="shared" si="11"/>
        <v>3099125.8399999994</v>
      </c>
      <c r="I271" s="42">
        <f t="shared" si="11"/>
        <v>639948.55000000005</v>
      </c>
      <c r="J271" s="42">
        <f t="shared" si="11"/>
        <v>273871.71999999997</v>
      </c>
      <c r="K271" s="42">
        <f t="shared" si="11"/>
        <v>47227.630000000005</v>
      </c>
      <c r="L271" s="42">
        <f t="shared" si="11"/>
        <v>12661532.519999998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85718.13</v>
      </c>
      <c r="G314" s="18">
        <v>37465.01</v>
      </c>
      <c r="H314" s="18"/>
      <c r="I314" s="18">
        <v>9016.18</v>
      </c>
      <c r="J314" s="18">
        <v>30309.86</v>
      </c>
      <c r="K314" s="18"/>
      <c r="L314" s="19">
        <f>SUM(F314:K314)</f>
        <v>162509.18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28427.35</v>
      </c>
      <c r="G316" s="18">
        <v>20551</v>
      </c>
      <c r="H316" s="18">
        <v>2054.87</v>
      </c>
      <c r="I316" s="18"/>
      <c r="J316" s="18">
        <v>21043.96</v>
      </c>
      <c r="K316" s="18">
        <v>6751.36</v>
      </c>
      <c r="L316" s="19">
        <f>SUM(F316:K316)</f>
        <v>78828.539999999994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46139.43</v>
      </c>
      <c r="G317" s="18">
        <v>12953.57</v>
      </c>
      <c r="H317" s="18"/>
      <c r="I317" s="18">
        <v>4049.29</v>
      </c>
      <c r="J317" s="18">
        <v>12352.41</v>
      </c>
      <c r="K317" s="18"/>
      <c r="L317" s="19">
        <f>SUM(F317:K317)</f>
        <v>75494.7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7416</v>
      </c>
      <c r="G319" s="18">
        <v>3525.06</v>
      </c>
      <c r="H319" s="18">
        <v>3595.28</v>
      </c>
      <c r="I319" s="18"/>
      <c r="J319" s="18"/>
      <c r="K319" s="18"/>
      <c r="L319" s="19">
        <f t="shared" ref="L319:L325" si="16">SUM(F319:K319)</f>
        <v>14536.34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23141.46</v>
      </c>
      <c r="I320" s="18"/>
      <c r="J320" s="18"/>
      <c r="K320" s="18"/>
      <c r="L320" s="19">
        <f t="shared" si="16"/>
        <v>23141.46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15477.54</v>
      </c>
      <c r="G321" s="18"/>
      <c r="H321" s="18"/>
      <c r="I321" s="18"/>
      <c r="J321" s="18"/>
      <c r="K321" s="18">
        <v>296.63</v>
      </c>
      <c r="L321" s="19">
        <f t="shared" si="16"/>
        <v>15774.17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14824.57</v>
      </c>
      <c r="L323" s="19">
        <f t="shared" si="16"/>
        <v>14824.57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3963.6</v>
      </c>
      <c r="I325" s="18"/>
      <c r="J325" s="18"/>
      <c r="K325" s="18"/>
      <c r="L325" s="19">
        <f t="shared" si="16"/>
        <v>3963.6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183178.45</v>
      </c>
      <c r="G328" s="42">
        <f t="shared" si="17"/>
        <v>74494.64</v>
      </c>
      <c r="H328" s="42">
        <f t="shared" si="17"/>
        <v>32755.21</v>
      </c>
      <c r="I328" s="42">
        <f t="shared" si="17"/>
        <v>13065.470000000001</v>
      </c>
      <c r="J328" s="42">
        <f t="shared" si="17"/>
        <v>63706.229999999996</v>
      </c>
      <c r="K328" s="42">
        <f t="shared" si="17"/>
        <v>21872.559999999998</v>
      </c>
      <c r="L328" s="41">
        <f t="shared" si="17"/>
        <v>389072.56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183178.45</v>
      </c>
      <c r="G338" s="41">
        <f t="shared" si="20"/>
        <v>74494.64</v>
      </c>
      <c r="H338" s="41">
        <f t="shared" si="20"/>
        <v>32755.21</v>
      </c>
      <c r="I338" s="41">
        <f t="shared" si="20"/>
        <v>13065.470000000001</v>
      </c>
      <c r="J338" s="41">
        <f t="shared" si="20"/>
        <v>63706.229999999996</v>
      </c>
      <c r="K338" s="41">
        <f t="shared" si="20"/>
        <v>21872.559999999998</v>
      </c>
      <c r="L338" s="41">
        <f t="shared" si="20"/>
        <v>389072.56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183178.45</v>
      </c>
      <c r="G352" s="41">
        <f>G338</f>
        <v>74494.64</v>
      </c>
      <c r="H352" s="41">
        <f>H338</f>
        <v>32755.21</v>
      </c>
      <c r="I352" s="41">
        <f>I338</f>
        <v>13065.470000000001</v>
      </c>
      <c r="J352" s="41">
        <f>J338</f>
        <v>63706.229999999996</v>
      </c>
      <c r="K352" s="47">
        <f>K338+K351</f>
        <v>21872.559999999998</v>
      </c>
      <c r="L352" s="41">
        <f>L338+L351</f>
        <v>389072.56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315623.34000000003</v>
      </c>
      <c r="I360" s="18"/>
      <c r="J360" s="18"/>
      <c r="K360" s="18"/>
      <c r="L360" s="19">
        <f>SUM(F360:K360)</f>
        <v>315623.34000000003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315623.34000000003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315623.34000000003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>
        <v>69467.399999999994</v>
      </c>
      <c r="K375" s="18"/>
      <c r="L375" s="13">
        <f t="shared" ref="L375:L381" si="23">SUM(F375:K375)</f>
        <v>69467.399999999994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69467.399999999994</v>
      </c>
      <c r="K382" s="47">
        <f t="shared" si="24"/>
        <v>0</v>
      </c>
      <c r="L382" s="47">
        <f t="shared" si="24"/>
        <v>69467.399999999994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5</v>
      </c>
      <c r="I389" s="18"/>
      <c r="J389" s="24" t="s">
        <v>289</v>
      </c>
      <c r="K389" s="24" t="s">
        <v>289</v>
      </c>
      <c r="L389" s="56">
        <f t="shared" si="25"/>
        <v>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5</v>
      </c>
      <c r="I397" s="18"/>
      <c r="J397" s="24" t="s">
        <v>289</v>
      </c>
      <c r="K397" s="24" t="s">
        <v>289</v>
      </c>
      <c r="L397" s="56">
        <f t="shared" si="26"/>
        <v>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3319.39</v>
      </c>
      <c r="G440" s="18"/>
      <c r="H440" s="18"/>
      <c r="I440" s="56">
        <f t="shared" si="33"/>
        <v>3319.39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3319.39</v>
      </c>
      <c r="G446" s="13">
        <f>SUM(G439:G445)</f>
        <v>0</v>
      </c>
      <c r="H446" s="13">
        <f>SUM(H439:H445)</f>
        <v>0</v>
      </c>
      <c r="I446" s="13">
        <f>SUM(I439:I445)</f>
        <v>3319.39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3319.39</v>
      </c>
      <c r="G459" s="18"/>
      <c r="H459" s="18"/>
      <c r="I459" s="56">
        <f t="shared" si="34"/>
        <v>3319.39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3319.39</v>
      </c>
      <c r="G460" s="83">
        <f>SUM(G454:G459)</f>
        <v>0</v>
      </c>
      <c r="H460" s="83">
        <f>SUM(H454:H459)</f>
        <v>0</v>
      </c>
      <c r="I460" s="83">
        <f>SUM(I454:I459)</f>
        <v>3319.39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3319.39</v>
      </c>
      <c r="G461" s="42">
        <f>G452+G460</f>
        <v>0</v>
      </c>
      <c r="H461" s="42">
        <f>H452+H460</f>
        <v>0</v>
      </c>
      <c r="I461" s="42">
        <f>I452+I460</f>
        <v>3319.39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901615.27</v>
      </c>
      <c r="G465" s="18">
        <v>13766.69</v>
      </c>
      <c r="H465" s="18">
        <v>0</v>
      </c>
      <c r="I465" s="18">
        <v>0</v>
      </c>
      <c r="J465" s="18">
        <v>3309.39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12782486.960000001</v>
      </c>
      <c r="G468" s="18">
        <v>323128.43</v>
      </c>
      <c r="H468" s="18">
        <v>389072.56</v>
      </c>
      <c r="I468" s="18">
        <v>77641.119999999995</v>
      </c>
      <c r="J468" s="18">
        <v>10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12782486.960000001</v>
      </c>
      <c r="G470" s="53">
        <f>SUM(G468:G469)</f>
        <v>323128.43</v>
      </c>
      <c r="H470" s="53">
        <f>SUM(H468:H469)</f>
        <v>389072.56</v>
      </c>
      <c r="I470" s="53">
        <f>SUM(I468:I469)</f>
        <v>77641.119999999995</v>
      </c>
      <c r="J470" s="53">
        <f>SUM(J468:J469)</f>
        <v>10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12661532.52</v>
      </c>
      <c r="G472" s="18">
        <v>315623.34000000003</v>
      </c>
      <c r="H472" s="18">
        <v>389072.56</v>
      </c>
      <c r="I472" s="18">
        <v>69467.399999999994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12661532.52</v>
      </c>
      <c r="G474" s="53">
        <f>SUM(G472:G473)</f>
        <v>315623.34000000003</v>
      </c>
      <c r="H474" s="53">
        <f>SUM(H472:H473)</f>
        <v>389072.56</v>
      </c>
      <c r="I474" s="53">
        <f>SUM(I472:I473)</f>
        <v>69467.399999999994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1022569.7100000009</v>
      </c>
      <c r="G476" s="53">
        <f>(G465+G470)- G474</f>
        <v>21271.77999999997</v>
      </c>
      <c r="H476" s="53">
        <f>(H465+H470)- H474</f>
        <v>0</v>
      </c>
      <c r="I476" s="53">
        <f>(I465+I470)- I474</f>
        <v>8173.7200000000012</v>
      </c>
      <c r="J476" s="53">
        <f>(J465+J470)- J474</f>
        <v>3319.39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663709.81000000006</v>
      </c>
      <c r="G523" s="18">
        <v>412785.47</v>
      </c>
      <c r="H523" s="18">
        <v>871498.19</v>
      </c>
      <c r="I523" s="18">
        <v>11984.74</v>
      </c>
      <c r="J523" s="18">
        <v>5202</v>
      </c>
      <c r="K523" s="18">
        <v>110</v>
      </c>
      <c r="L523" s="88">
        <f>SUM(F523:K523)</f>
        <v>1965290.21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663709.81000000006</v>
      </c>
      <c r="G524" s="108">
        <f t="shared" ref="G524:L524" si="36">SUM(G521:G523)</f>
        <v>412785.47</v>
      </c>
      <c r="H524" s="108">
        <f t="shared" si="36"/>
        <v>871498.19</v>
      </c>
      <c r="I524" s="108">
        <f t="shared" si="36"/>
        <v>11984.74</v>
      </c>
      <c r="J524" s="108">
        <f t="shared" si="36"/>
        <v>5202</v>
      </c>
      <c r="K524" s="108">
        <f t="shared" si="36"/>
        <v>110</v>
      </c>
      <c r="L524" s="89">
        <f t="shared" si="36"/>
        <v>1965290.21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198324.18</v>
      </c>
      <c r="G528" s="18">
        <v>89672.95</v>
      </c>
      <c r="H528" s="18">
        <v>48469.22</v>
      </c>
      <c r="I528" s="18">
        <v>2337.92</v>
      </c>
      <c r="J528" s="18"/>
      <c r="K528" s="18">
        <v>800</v>
      </c>
      <c r="L528" s="88">
        <f>SUM(F528:K528)</f>
        <v>339604.26999999996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198324.18</v>
      </c>
      <c r="G529" s="89">
        <f t="shared" ref="G529:L529" si="37">SUM(G526:G528)</f>
        <v>89672.95</v>
      </c>
      <c r="H529" s="89">
        <f t="shared" si="37"/>
        <v>48469.22</v>
      </c>
      <c r="I529" s="89">
        <f t="shared" si="37"/>
        <v>2337.92</v>
      </c>
      <c r="J529" s="89">
        <f t="shared" si="37"/>
        <v>0</v>
      </c>
      <c r="K529" s="89">
        <f t="shared" si="37"/>
        <v>800</v>
      </c>
      <c r="L529" s="89">
        <f t="shared" si="37"/>
        <v>339604.26999999996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174489.39</v>
      </c>
      <c r="G533" s="18">
        <v>87036.24</v>
      </c>
      <c r="H533" s="18">
        <v>459.4</v>
      </c>
      <c r="I533" s="18"/>
      <c r="J533" s="18"/>
      <c r="K533" s="18"/>
      <c r="L533" s="88">
        <f>SUM(F533:K533)</f>
        <v>261985.03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174489.39</v>
      </c>
      <c r="G534" s="89">
        <f t="shared" ref="G534:L534" si="38">SUM(G531:G533)</f>
        <v>87036.24</v>
      </c>
      <c r="H534" s="89">
        <f t="shared" si="38"/>
        <v>459.4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261985.03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9874</v>
      </c>
      <c r="I538" s="18"/>
      <c r="J538" s="18"/>
      <c r="K538" s="18"/>
      <c r="L538" s="88">
        <f>SUM(F538:K538)</f>
        <v>9874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9874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9874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195847.03</v>
      </c>
      <c r="I543" s="18"/>
      <c r="J543" s="18"/>
      <c r="K543" s="18"/>
      <c r="L543" s="88">
        <f>SUM(F543:K543)</f>
        <v>195847.03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195847.03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195847.03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1036523.38</v>
      </c>
      <c r="G545" s="89">
        <f t="shared" ref="G545:L545" si="41">G524+G529+G534+G539+G544</f>
        <v>589494.66</v>
      </c>
      <c r="H545" s="89">
        <f t="shared" si="41"/>
        <v>1126147.8399999999</v>
      </c>
      <c r="I545" s="89">
        <f t="shared" si="41"/>
        <v>14322.66</v>
      </c>
      <c r="J545" s="89">
        <f t="shared" si="41"/>
        <v>5202</v>
      </c>
      <c r="K545" s="89">
        <f t="shared" si="41"/>
        <v>910</v>
      </c>
      <c r="L545" s="89">
        <f t="shared" si="41"/>
        <v>2772600.5399999996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1965290.21</v>
      </c>
      <c r="G551" s="87">
        <f>L528</f>
        <v>339604.26999999996</v>
      </c>
      <c r="H551" s="87">
        <f>L533</f>
        <v>261985.03</v>
      </c>
      <c r="I551" s="87">
        <f>L538</f>
        <v>9874</v>
      </c>
      <c r="J551" s="87">
        <f>L543</f>
        <v>195847.03</v>
      </c>
      <c r="K551" s="87">
        <f>SUM(F551:J551)</f>
        <v>2772600.5399999996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1965290.21</v>
      </c>
      <c r="G552" s="89">
        <f t="shared" si="42"/>
        <v>339604.26999999996</v>
      </c>
      <c r="H552" s="89">
        <f t="shared" si="42"/>
        <v>261985.03</v>
      </c>
      <c r="I552" s="89">
        <f t="shared" si="42"/>
        <v>9874</v>
      </c>
      <c r="J552" s="89">
        <f t="shared" si="42"/>
        <v>195847.03</v>
      </c>
      <c r="K552" s="89">
        <f t="shared" si="42"/>
        <v>2772600.5399999996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546874.96</v>
      </c>
      <c r="I579" s="87">
        <f t="shared" si="47"/>
        <v>546874.96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207187.32</v>
      </c>
      <c r="I583" s="87">
        <f t="shared" si="47"/>
        <v>207187.32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350218.49</v>
      </c>
      <c r="K591" s="104">
        <f t="shared" ref="K591:K597" si="48">SUM(H591:J591)</f>
        <v>350218.49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195582.03</v>
      </c>
      <c r="K592" s="104">
        <f t="shared" si="48"/>
        <v>195582.03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70200</v>
      </c>
      <c r="K594" s="104">
        <f t="shared" si="48"/>
        <v>70200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17076.849999999999</v>
      </c>
      <c r="K595" s="104">
        <f t="shared" si="48"/>
        <v>17076.849999999999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633077.37</v>
      </c>
      <c r="K598" s="108">
        <f>SUM(K591:K597)</f>
        <v>633077.37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 t="s">
        <v>287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337577.95</v>
      </c>
      <c r="K604" s="104">
        <f>SUM(H604:J604)</f>
        <v>337577.95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337577.95</v>
      </c>
      <c r="K605" s="108">
        <f>SUM(K602:K604)</f>
        <v>337577.95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20443.599999999999</v>
      </c>
      <c r="G613" s="18">
        <v>4119.99</v>
      </c>
      <c r="H613" s="18">
        <v>1284.78</v>
      </c>
      <c r="I613" s="18">
        <v>4049.29</v>
      </c>
      <c r="J613" s="18">
        <v>10932.2</v>
      </c>
      <c r="K613" s="18"/>
      <c r="L613" s="88">
        <f>SUM(F613:K613)</f>
        <v>40829.86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20443.599999999999</v>
      </c>
      <c r="G614" s="108">
        <f t="shared" si="49"/>
        <v>4119.99</v>
      </c>
      <c r="H614" s="108">
        <f t="shared" si="49"/>
        <v>1284.78</v>
      </c>
      <c r="I614" s="108">
        <f t="shared" si="49"/>
        <v>4049.29</v>
      </c>
      <c r="J614" s="108">
        <f t="shared" si="49"/>
        <v>10932.2</v>
      </c>
      <c r="K614" s="108">
        <f t="shared" si="49"/>
        <v>0</v>
      </c>
      <c r="L614" s="89">
        <f t="shared" si="49"/>
        <v>40829.86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1237585.47</v>
      </c>
      <c r="H617" s="109">
        <f>SUM(F52)</f>
        <v>1237585.4700000002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21271.78</v>
      </c>
      <c r="H618" s="109">
        <f>SUM(G52)</f>
        <v>21271.78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17158.39</v>
      </c>
      <c r="H619" s="109">
        <f>SUM(H52)</f>
        <v>17158.39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8173.72</v>
      </c>
      <c r="H620" s="109">
        <f>SUM(I52)</f>
        <v>8173.72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3319.39</v>
      </c>
      <c r="H621" s="109">
        <f>SUM(J52)</f>
        <v>3319.39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1022569.7100000001</v>
      </c>
      <c r="H622" s="109">
        <f>F476</f>
        <v>1022569.7100000009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21271.78</v>
      </c>
      <c r="H623" s="109">
        <f>G476</f>
        <v>21271.77999999997</v>
      </c>
      <c r="I623" s="121" t="s">
        <v>102</v>
      </c>
      <c r="J623" s="109">
        <f t="shared" si="50"/>
        <v>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8173.72</v>
      </c>
      <c r="H625" s="109">
        <f>I476</f>
        <v>8173.7200000000012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3319.39</v>
      </c>
      <c r="H626" s="109">
        <f>J476</f>
        <v>3319.39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12782486.959999999</v>
      </c>
      <c r="H627" s="104">
        <f>SUM(F468)</f>
        <v>12782486.960000001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323128.43</v>
      </c>
      <c r="H628" s="104">
        <f>SUM(G468)</f>
        <v>323128.43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389072.56</v>
      </c>
      <c r="H629" s="104">
        <f>SUM(H468)</f>
        <v>389072.56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77641.119999999995</v>
      </c>
      <c r="H630" s="104">
        <f>SUM(I468)</f>
        <v>77641.119999999995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</v>
      </c>
      <c r="H631" s="104">
        <f>SUM(J468)</f>
        <v>10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12661532.519999998</v>
      </c>
      <c r="H632" s="104">
        <f>SUM(F472)</f>
        <v>12661532.52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389072.56</v>
      </c>
      <c r="H633" s="104">
        <f>SUM(H472)</f>
        <v>389072.56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315623.34000000003</v>
      </c>
      <c r="H635" s="104">
        <f>SUM(G472)</f>
        <v>315623.34000000003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69467.399999999994</v>
      </c>
      <c r="H636" s="104">
        <f>SUM(I472)</f>
        <v>69467.399999999994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</v>
      </c>
      <c r="H637" s="164">
        <f>SUM(J468)</f>
        <v>10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3319.39</v>
      </c>
      <c r="H639" s="104">
        <f>SUM(F461)</f>
        <v>3319.39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3319.39</v>
      </c>
      <c r="H642" s="104">
        <f>SUM(I461)</f>
        <v>3319.39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</v>
      </c>
      <c r="H644" s="104">
        <f>H408</f>
        <v>10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</v>
      </c>
      <c r="H646" s="104">
        <f>L408</f>
        <v>10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633077.37</v>
      </c>
      <c r="H647" s="104">
        <f>L208+L226+L244</f>
        <v>633077.37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337577.95</v>
      </c>
      <c r="H648" s="104">
        <f>(J257+J338)-(J255+J336)</f>
        <v>337577.94999999995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633077.37</v>
      </c>
      <c r="H651" s="104">
        <f>J598</f>
        <v>633077.37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12967335.079999998</v>
      </c>
      <c r="I660" s="19">
        <f>SUM(F660:H660)</f>
        <v>12967335.079999998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191159.58</v>
      </c>
      <c r="I661" s="19">
        <f>SUM(F661:H661)</f>
        <v>191159.58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637040.97</v>
      </c>
      <c r="I662" s="19">
        <f>SUM(F662:H662)</f>
        <v>637040.97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1132470.0900000001</v>
      </c>
      <c r="I663" s="19">
        <f>SUM(F663:H663)</f>
        <v>1132470.0900000001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11006664.439999998</v>
      </c>
      <c r="I664" s="19">
        <f>I660-SUM(I661:I663)</f>
        <v>11006664.439999998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668.78</v>
      </c>
      <c r="I665" s="19">
        <f>SUM(F665:H665)</f>
        <v>668.78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16457.830000000002</v>
      </c>
      <c r="I667" s="19">
        <f>ROUND(I664/I665,2)</f>
        <v>16457.830000000002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3.94</v>
      </c>
      <c r="I670" s="19">
        <f>SUM(F670:H670)</f>
        <v>3.94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16361.43</v>
      </c>
      <c r="I672" s="19">
        <f>ROUND((I664+I669)/(I665+I670),2)</f>
        <v>16361.43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8" sqref="C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PEMI-BAKER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2691748.29</v>
      </c>
      <c r="C9" s="229">
        <f>'DOE25'!G197+'DOE25'!G215+'DOE25'!G233+'DOE25'!G276+'DOE25'!G295+'DOE25'!G314</f>
        <v>1281829.93</v>
      </c>
    </row>
    <row r="10" spans="1:3" x14ac:dyDescent="0.2">
      <c r="A10" t="s">
        <v>779</v>
      </c>
      <c r="B10" s="240">
        <v>2577521.98</v>
      </c>
      <c r="C10" s="240">
        <v>1204344.19</v>
      </c>
    </row>
    <row r="11" spans="1:3" x14ac:dyDescent="0.2">
      <c r="A11" t="s">
        <v>780</v>
      </c>
      <c r="B11" s="240">
        <v>104542.82</v>
      </c>
      <c r="C11" s="240">
        <v>76258.899999999994</v>
      </c>
    </row>
    <row r="12" spans="1:3" x14ac:dyDescent="0.2">
      <c r="A12" t="s">
        <v>781</v>
      </c>
      <c r="B12" s="240">
        <v>9683.49</v>
      </c>
      <c r="C12" s="240">
        <v>1226.8399999999999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2691748.29</v>
      </c>
      <c r="C13" s="231">
        <f>SUM(C10:C12)</f>
        <v>1281829.93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803628.53</v>
      </c>
      <c r="C18" s="229">
        <f>'DOE25'!G198+'DOE25'!G216+'DOE25'!G234+'DOE25'!G277+'DOE25'!G296+'DOE25'!G315</f>
        <v>485812.42</v>
      </c>
    </row>
    <row r="19" spans="1:3" x14ac:dyDescent="0.2">
      <c r="A19" t="s">
        <v>779</v>
      </c>
      <c r="B19" s="240">
        <v>414700.89</v>
      </c>
      <c r="C19" s="240">
        <v>216661.36</v>
      </c>
    </row>
    <row r="20" spans="1:3" x14ac:dyDescent="0.2">
      <c r="A20" t="s">
        <v>780</v>
      </c>
      <c r="B20" s="240">
        <v>333059.90999999997</v>
      </c>
      <c r="C20" s="240">
        <v>233862.28</v>
      </c>
    </row>
    <row r="21" spans="1:3" x14ac:dyDescent="0.2">
      <c r="A21" t="s">
        <v>781</v>
      </c>
      <c r="B21" s="240">
        <v>55867.73</v>
      </c>
      <c r="C21" s="240">
        <v>35288.78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803628.53</v>
      </c>
      <c r="C22" s="231">
        <f>SUM(C19:C21)</f>
        <v>485812.42000000004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287564.43</v>
      </c>
      <c r="C27" s="234">
        <f>'DOE25'!G199+'DOE25'!G217+'DOE25'!G235+'DOE25'!G278+'DOE25'!G297+'DOE25'!G316</f>
        <v>130971.67</v>
      </c>
    </row>
    <row r="28" spans="1:3" x14ac:dyDescent="0.2">
      <c r="A28" t="s">
        <v>779</v>
      </c>
      <c r="B28" s="240">
        <v>287564.43</v>
      </c>
      <c r="C28" s="240">
        <v>130971.67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287564.43</v>
      </c>
      <c r="C31" s="231">
        <f>SUM(C28:C30)</f>
        <v>130971.67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298762.48</v>
      </c>
      <c r="C36" s="235">
        <f>'DOE25'!G200+'DOE25'!G218+'DOE25'!G236+'DOE25'!G279+'DOE25'!G298+'DOE25'!G317</f>
        <v>63956.35</v>
      </c>
    </row>
    <row r="37" spans="1:3" x14ac:dyDescent="0.2">
      <c r="A37" t="s">
        <v>779</v>
      </c>
      <c r="B37" s="240">
        <v>298762.48</v>
      </c>
      <c r="C37" s="240">
        <v>63956.35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298762.48</v>
      </c>
      <c r="C40" s="231">
        <f>SUM(C37:C39)</f>
        <v>63956.35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PEMI-BAKER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7326910.3800000008</v>
      </c>
      <c r="D5" s="20">
        <f>SUM('DOE25'!L197:L200)+SUM('DOE25'!L215:L218)+SUM('DOE25'!L233:L236)-F5-G5</f>
        <v>7088454.1500000004</v>
      </c>
      <c r="E5" s="243"/>
      <c r="F5" s="255">
        <f>SUM('DOE25'!J197:J200)+SUM('DOE25'!J215:J218)+SUM('DOE25'!J233:J236)</f>
        <v>217259.22999999998</v>
      </c>
      <c r="G5" s="53">
        <f>SUM('DOE25'!K197:K200)+SUM('DOE25'!K215:K218)+SUM('DOE25'!K233:K236)</f>
        <v>21197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1046520.58</v>
      </c>
      <c r="D6" s="20">
        <f>'DOE25'!L202+'DOE25'!L220+'DOE25'!L238-F6-G6</f>
        <v>1045020</v>
      </c>
      <c r="E6" s="243"/>
      <c r="F6" s="255">
        <f>'DOE25'!J202+'DOE25'!J220+'DOE25'!J238</f>
        <v>126.58</v>
      </c>
      <c r="G6" s="53">
        <f>'DOE25'!K202+'DOE25'!K220+'DOE25'!K238</f>
        <v>1374</v>
      </c>
      <c r="H6" s="259"/>
    </row>
    <row r="7" spans="1:9" x14ac:dyDescent="0.2">
      <c r="A7" s="32">
        <v>2200</v>
      </c>
      <c r="B7" t="s">
        <v>834</v>
      </c>
      <c r="C7" s="245">
        <f t="shared" si="0"/>
        <v>339156.26</v>
      </c>
      <c r="D7" s="20">
        <f>'DOE25'!L203+'DOE25'!L221+'DOE25'!L239-F7-G7</f>
        <v>333060.21000000002</v>
      </c>
      <c r="E7" s="243"/>
      <c r="F7" s="255">
        <f>'DOE25'!J203+'DOE25'!J221+'DOE25'!J239</f>
        <v>6096.05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663480.72</v>
      </c>
      <c r="D8" s="243"/>
      <c r="E8" s="20">
        <f>'DOE25'!L204+'DOE25'!L222+'DOE25'!L240-F8-G8-D9-D11</f>
        <v>658777.74</v>
      </c>
      <c r="F8" s="255">
        <f>'DOE25'!J204+'DOE25'!J222+'DOE25'!J240</f>
        <v>0</v>
      </c>
      <c r="G8" s="53">
        <f>'DOE25'!K204+'DOE25'!K222+'DOE25'!K240</f>
        <v>4702.9799999999996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39438.97</v>
      </c>
      <c r="D9" s="244">
        <v>39438.97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12000</v>
      </c>
      <c r="D10" s="243"/>
      <c r="E10" s="244">
        <v>12000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160313.84</v>
      </c>
      <c r="D11" s="244">
        <v>160313.84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608381.69000000006</v>
      </c>
      <c r="D12" s="20">
        <f>'DOE25'!L205+'DOE25'!L223+'DOE25'!L241-F12-G12</f>
        <v>588428.04</v>
      </c>
      <c r="E12" s="243"/>
      <c r="F12" s="255">
        <f>'DOE25'!J205+'DOE25'!J223+'DOE25'!J241</f>
        <v>0</v>
      </c>
      <c r="G12" s="53">
        <f>'DOE25'!K205+'DOE25'!K223+'DOE25'!K241</f>
        <v>19953.650000000001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1817.19</v>
      </c>
      <c r="D13" s="243"/>
      <c r="E13" s="20">
        <f>'DOE25'!L206+'DOE25'!L224+'DOE25'!L242-F13-G13</f>
        <v>1817.19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1443542.18</v>
      </c>
      <c r="D14" s="20">
        <f>'DOE25'!L207+'DOE25'!L225+'DOE25'!L243-F14-G14</f>
        <v>1393152.3199999998</v>
      </c>
      <c r="E14" s="243"/>
      <c r="F14" s="255">
        <f>'DOE25'!J207+'DOE25'!J225+'DOE25'!J243</f>
        <v>50389.86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633077.37</v>
      </c>
      <c r="D15" s="20">
        <f>'DOE25'!L208+'DOE25'!L226+'DOE25'!L244-F15-G15</f>
        <v>633077.37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398893.34</v>
      </c>
      <c r="D22" s="243"/>
      <c r="E22" s="243"/>
      <c r="F22" s="255">
        <f>'DOE25'!L255+'DOE25'!L336</f>
        <v>398893.34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315623.34000000003</v>
      </c>
      <c r="D29" s="20">
        <f>'DOE25'!L358+'DOE25'!L359+'DOE25'!L360-'DOE25'!I367-F29-G29</f>
        <v>315623.34000000003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389072.56</v>
      </c>
      <c r="D31" s="20">
        <f>'DOE25'!L290+'DOE25'!L309+'DOE25'!L328+'DOE25'!L333+'DOE25'!L334+'DOE25'!L335-F31-G31</f>
        <v>303493.77</v>
      </c>
      <c r="E31" s="243"/>
      <c r="F31" s="255">
        <f>'DOE25'!J290+'DOE25'!J309+'DOE25'!J328+'DOE25'!J333+'DOE25'!J334+'DOE25'!J335</f>
        <v>63706.229999999996</v>
      </c>
      <c r="G31" s="53">
        <f>'DOE25'!K290+'DOE25'!K309+'DOE25'!K328+'DOE25'!K333+'DOE25'!K334+'DOE25'!K335</f>
        <v>21872.559999999998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11900062.01</v>
      </c>
      <c r="E33" s="246">
        <f>SUM(E5:E31)</f>
        <v>672594.92999999993</v>
      </c>
      <c r="F33" s="246">
        <f>SUM(F5:F31)</f>
        <v>736471.29</v>
      </c>
      <c r="G33" s="246">
        <f>SUM(G5:G31)</f>
        <v>69100.19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672594.92999999993</v>
      </c>
      <c r="E35" s="249"/>
    </row>
    <row r="36" spans="2:8" ht="12" thickTop="1" x14ac:dyDescent="0.2">
      <c r="B36" t="s">
        <v>815</v>
      </c>
      <c r="D36" s="20">
        <f>D33</f>
        <v>11900062.01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5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1128397.46</v>
      </c>
      <c r="D8" s="95">
        <f>'DOE25'!G9</f>
        <v>-22753.11</v>
      </c>
      <c r="E8" s="95">
        <f>'DOE25'!H9</f>
        <v>-91099.12</v>
      </c>
      <c r="F8" s="95">
        <f>'DOE25'!I9</f>
        <v>8173.72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3319.39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65000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39116.959999999999</v>
      </c>
      <c r="D12" s="95">
        <f>'DOE25'!G13</f>
        <v>20022.29</v>
      </c>
      <c r="E12" s="95">
        <f>'DOE25'!H13</f>
        <v>108257.51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5071.05</v>
      </c>
      <c r="D13" s="95">
        <f>'DOE25'!G14</f>
        <v>24002.6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1237585.47</v>
      </c>
      <c r="D18" s="41">
        <f>SUM(D8:D17)</f>
        <v>21271.78</v>
      </c>
      <c r="E18" s="41">
        <f>SUM(E8:E17)</f>
        <v>17158.39</v>
      </c>
      <c r="F18" s="41">
        <f>SUM(F8:F17)</f>
        <v>8173.72</v>
      </c>
      <c r="G18" s="41">
        <f>SUM(G8:G17)</f>
        <v>3319.39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215015.76</v>
      </c>
      <c r="D23" s="95">
        <f>'DOE25'!G24</f>
        <v>0</v>
      </c>
      <c r="E23" s="95">
        <f>'DOE25'!H24</f>
        <v>17158.39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 t="str">
        <f>'DOE25'!I30</f>
        <v xml:space="preserve"> 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215015.76</v>
      </c>
      <c r="D31" s="41">
        <f>SUM(D21:D30)</f>
        <v>0</v>
      </c>
      <c r="E31" s="41">
        <f>SUM(E21:E30)</f>
        <v>17158.39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 t="str">
        <f>'DOE25'!F37</f>
        <v xml:space="preserve"> 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718889.55</v>
      </c>
      <c r="D44" s="95">
        <f>'DOE25'!G45</f>
        <v>0</v>
      </c>
      <c r="E44" s="95">
        <f>'DOE25'!H45</f>
        <v>0</v>
      </c>
      <c r="F44" s="95" t="str">
        <f>'DOE25'!I45</f>
        <v xml:space="preserve"> 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103680.16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8173.72</v>
      </c>
      <c r="G47" s="95">
        <f>'DOE25'!J48</f>
        <v>3319.39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21271.78</v>
      </c>
      <c r="E48" s="95">
        <f>'DOE25'!H49</f>
        <v>0</v>
      </c>
      <c r="F48" s="95" t="str">
        <f>'DOE25'!I49</f>
        <v xml:space="preserve"> 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200000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1022569.7100000001</v>
      </c>
      <c r="D50" s="41">
        <f>SUM(D34:D49)</f>
        <v>21271.78</v>
      </c>
      <c r="E50" s="41">
        <f>SUM(E34:E49)</f>
        <v>0</v>
      </c>
      <c r="F50" s="41">
        <f>SUM(F34:F49)</f>
        <v>8173.72</v>
      </c>
      <c r="G50" s="41">
        <f>SUM(G34:G49)</f>
        <v>3319.39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1237585.4700000002</v>
      </c>
      <c r="D51" s="41">
        <f>D50+D31</f>
        <v>21271.78</v>
      </c>
      <c r="E51" s="41">
        <f>E50+E31</f>
        <v>17158.39</v>
      </c>
      <c r="F51" s="41">
        <f>F50+F31</f>
        <v>8173.72</v>
      </c>
      <c r="G51" s="41">
        <f>G50+G31</f>
        <v>3319.39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7550265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539484.77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592.37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191159.58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93443.959999999992</v>
      </c>
      <c r="D61" s="95">
        <f>SUM('DOE25'!G98:G110)</f>
        <v>0</v>
      </c>
      <c r="E61" s="95">
        <f>SUM('DOE25'!H98:H110)</f>
        <v>0</v>
      </c>
      <c r="F61" s="95">
        <f>SUM('DOE25'!I98:I110)</f>
        <v>77641.119999999995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633521.1</v>
      </c>
      <c r="D62" s="130">
        <f>SUM(D57:D61)</f>
        <v>191159.58</v>
      </c>
      <c r="E62" s="130">
        <f>SUM(E57:E61)</f>
        <v>0</v>
      </c>
      <c r="F62" s="130">
        <f>SUM(F57:F61)</f>
        <v>77641.119999999995</v>
      </c>
      <c r="G62" s="130">
        <f>SUM(G57:G61)</f>
        <v>10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8183786.0999999996</v>
      </c>
      <c r="D63" s="22">
        <f>D56+D62</f>
        <v>191159.58</v>
      </c>
      <c r="E63" s="22">
        <f>E56+E62</f>
        <v>0</v>
      </c>
      <c r="F63" s="22">
        <f>F56+F62</f>
        <v>77641.119999999995</v>
      </c>
      <c r="G63" s="22">
        <f>G56+G62</f>
        <v>10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2398368.0299999998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1928682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4327050.0299999993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103668.22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57324.74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3120.9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160992.95999999999</v>
      </c>
      <c r="D78" s="130">
        <f>SUM(D72:D77)</f>
        <v>3120.9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4488042.9899999993</v>
      </c>
      <c r="D81" s="130">
        <f>SUM(D79:D80)+D78+D70</f>
        <v>3120.9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110657.87</v>
      </c>
      <c r="D88" s="95">
        <f>SUM('DOE25'!G153:G161)</f>
        <v>128847.95</v>
      </c>
      <c r="E88" s="95">
        <f>SUM('DOE25'!H153:H161)</f>
        <v>389072.56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 t="str">
        <f>'DOE25'!F165</f>
        <v xml:space="preserve"> 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110657.87</v>
      </c>
      <c r="D91" s="131">
        <f>SUM(D85:D90)</f>
        <v>128847.95</v>
      </c>
      <c r="E91" s="131">
        <f>SUM(E85:E90)</f>
        <v>389072.56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12782486.959999999</v>
      </c>
      <c r="D104" s="86">
        <f>D63+D81+D91+D103</f>
        <v>323128.43</v>
      </c>
      <c r="E104" s="86">
        <f>E63+E81+E91+E103</f>
        <v>389072.56</v>
      </c>
      <c r="F104" s="86">
        <f>F63+F81+F91+F103</f>
        <v>77641.119999999995</v>
      </c>
      <c r="G104" s="86">
        <f>G63+G81+G103</f>
        <v>10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4237495.6900000004</v>
      </c>
      <c r="D109" s="24" t="s">
        <v>289</v>
      </c>
      <c r="E109" s="95">
        <f>('DOE25'!L276)+('DOE25'!L295)+('DOE25'!L314)</f>
        <v>162509.18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2178235.88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418257.64</v>
      </c>
      <c r="D111" s="24" t="s">
        <v>289</v>
      </c>
      <c r="E111" s="95">
        <f>('DOE25'!L278)+('DOE25'!L297)+('DOE25'!L316)</f>
        <v>78828.539999999994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492921.17</v>
      </c>
      <c r="D112" s="24" t="s">
        <v>289</v>
      </c>
      <c r="E112" s="95">
        <f>+('DOE25'!L279)+('DOE25'!L298)+('DOE25'!L317)</f>
        <v>75494.7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7326910.3799999999</v>
      </c>
      <c r="D115" s="86">
        <f>SUM(D109:D114)</f>
        <v>0</v>
      </c>
      <c r="E115" s="86">
        <f>SUM(E109:E114)</f>
        <v>316832.42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1046520.58</v>
      </c>
      <c r="D118" s="24" t="s">
        <v>289</v>
      </c>
      <c r="E118" s="95">
        <f>+('DOE25'!L281)+('DOE25'!L300)+('DOE25'!L319)</f>
        <v>14536.34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339156.26</v>
      </c>
      <c r="D119" s="24" t="s">
        <v>289</v>
      </c>
      <c r="E119" s="95">
        <f>+('DOE25'!L282)+('DOE25'!L301)+('DOE25'!L320)</f>
        <v>23141.46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863233.52999999991</v>
      </c>
      <c r="D120" s="24" t="s">
        <v>289</v>
      </c>
      <c r="E120" s="95">
        <f>+('DOE25'!L283)+('DOE25'!L302)+('DOE25'!L321)</f>
        <v>15774.17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608381.69000000006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1817.19</v>
      </c>
      <c r="D122" s="24" t="s">
        <v>289</v>
      </c>
      <c r="E122" s="95">
        <f>+('DOE25'!L285)+('DOE25'!L304)+('DOE25'!L323)</f>
        <v>14824.57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1443542.18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633077.37</v>
      </c>
      <c r="D124" s="24" t="s">
        <v>289</v>
      </c>
      <c r="E124" s="95">
        <f>+('DOE25'!L287)+('DOE25'!L306)+('DOE25'!L325)</f>
        <v>3963.6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315623.34000000003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4935728.8</v>
      </c>
      <c r="D128" s="86">
        <f>SUM(D118:D127)</f>
        <v>315623.34000000003</v>
      </c>
      <c r="E128" s="86">
        <f>SUM(E118:E127)</f>
        <v>72240.140000000014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398893.34</v>
      </c>
      <c r="D130" s="24" t="s">
        <v>289</v>
      </c>
      <c r="E130" s="129">
        <f>'DOE25'!L336</f>
        <v>0</v>
      </c>
      <c r="F130" s="129">
        <f>SUM('DOE25'!L374:'DOE25'!L380)</f>
        <v>69467.399999999994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398893.34</v>
      </c>
      <c r="D144" s="141">
        <f>SUM(D130:D143)</f>
        <v>0</v>
      </c>
      <c r="E144" s="141">
        <f>SUM(E130:E143)</f>
        <v>0</v>
      </c>
      <c r="F144" s="141">
        <f>SUM(F130:F143)</f>
        <v>69467.399999999994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12661532.52</v>
      </c>
      <c r="D145" s="86">
        <f>(D115+D128+D144)</f>
        <v>315623.34000000003</v>
      </c>
      <c r="E145" s="86">
        <f>(E115+E128+E144)</f>
        <v>389072.56</v>
      </c>
      <c r="F145" s="86">
        <f>(F115+F128+F144)</f>
        <v>69467.399999999994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PEMI-BAKER 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16361</v>
      </c>
    </row>
    <row r="7" spans="1:4" x14ac:dyDescent="0.2">
      <c r="B7" t="s">
        <v>705</v>
      </c>
      <c r="C7" s="179">
        <f>IF('DOE25'!I665+'DOE25'!I670=0,0,ROUND('DOE25'!I672,0))</f>
        <v>16361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4400005</v>
      </c>
      <c r="D10" s="182">
        <f>ROUND((C10/$C$28)*100,1)</f>
        <v>34.4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2178236</v>
      </c>
      <c r="D11" s="182">
        <f>ROUND((C11/$C$28)*100,1)</f>
        <v>17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497086</v>
      </c>
      <c r="D12" s="182">
        <f>ROUND((C12/$C$28)*100,1)</f>
        <v>3.9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568416</v>
      </c>
      <c r="D13" s="182">
        <f>ROUND((C13/$C$28)*100,1)</f>
        <v>4.4000000000000004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1061057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362298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879008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608382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16642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1443542</v>
      </c>
      <c r="D20" s="182">
        <f t="shared" si="0"/>
        <v>11.3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637041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124463.42000000001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12776176.42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468361</v>
      </c>
    </row>
    <row r="30" spans="1:4" x14ac:dyDescent="0.2">
      <c r="B30" s="187" t="s">
        <v>729</v>
      </c>
      <c r="C30" s="180">
        <f>SUM(C28:C29)</f>
        <v>13244537.42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7550265</v>
      </c>
      <c r="D35" s="182">
        <f t="shared" ref="D35:D40" si="1">ROUND((C35/$C$41)*100,1)</f>
        <v>56.4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711172.21999999881</v>
      </c>
      <c r="D36" s="182">
        <f t="shared" si="1"/>
        <v>5.3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4327050</v>
      </c>
      <c r="D37" s="182">
        <f t="shared" si="1"/>
        <v>32.299999999999997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164114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628578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13381179.219999999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PEMI-BAKER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2016-08-22T11:58:13Z</cp:lastPrinted>
  <dcterms:created xsi:type="dcterms:W3CDTF">1997-12-04T19:04:30Z</dcterms:created>
  <dcterms:modified xsi:type="dcterms:W3CDTF">2016-12-01T18:47:30Z</dcterms:modified>
</cp:coreProperties>
</file>