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50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59" i="1" l="1"/>
  <c r="G441" i="1"/>
  <c r="F472" i="1"/>
  <c r="F465" i="1"/>
  <c r="F22" i="1" l="1"/>
  <c r="F50" i="1"/>
  <c r="B21" i="12" l="1"/>
  <c r="G465" i="1"/>
  <c r="J465" i="1"/>
  <c r="H521" i="1" l="1"/>
  <c r="F468" i="1"/>
  <c r="H358" i="1" l="1"/>
  <c r="H240" i="1"/>
  <c r="H207" i="1"/>
  <c r="K205" i="1"/>
  <c r="H205" i="1"/>
  <c r="H204" i="1"/>
  <c r="H203" i="1"/>
  <c r="H202" i="1"/>
  <c r="I198" i="1"/>
  <c r="H198" i="1"/>
  <c r="H197" i="1"/>
  <c r="H29" i="1"/>
  <c r="F29" i="1" l="1"/>
  <c r="F24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C110" i="2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C16" i="10" s="1"/>
  <c r="F12" i="13"/>
  <c r="G12" i="13"/>
  <c r="L205" i="1"/>
  <c r="L223" i="1"/>
  <c r="L241" i="1"/>
  <c r="C18" i="10" s="1"/>
  <c r="F14" i="13"/>
  <c r="G14" i="13"/>
  <c r="L207" i="1"/>
  <c r="L225" i="1"/>
  <c r="C20" i="10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C13" i="10" s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B27" i="12"/>
  <c r="C27" i="12"/>
  <c r="B31" i="12"/>
  <c r="C31" i="12"/>
  <c r="B9" i="12"/>
  <c r="B13" i="12"/>
  <c r="C9" i="12"/>
  <c r="B18" i="12"/>
  <c r="B22" i="12"/>
  <c r="C18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C58" i="2" s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C85" i="2" s="1"/>
  <c r="F162" i="1"/>
  <c r="G147" i="1"/>
  <c r="D85" i="2" s="1"/>
  <c r="G162" i="1"/>
  <c r="H147" i="1"/>
  <c r="E85" i="2" s="1"/>
  <c r="H162" i="1"/>
  <c r="I147" i="1"/>
  <c r="F85" i="2" s="1"/>
  <c r="I162" i="1"/>
  <c r="C11" i="10"/>
  <c r="L250" i="1"/>
  <c r="L332" i="1"/>
  <c r="L254" i="1"/>
  <c r="L268" i="1"/>
  <c r="L269" i="1"/>
  <c r="L349" i="1"/>
  <c r="E142" i="2" s="1"/>
  <c r="L350" i="1"/>
  <c r="E143" i="2" s="1"/>
  <c r="I665" i="1"/>
  <c r="I670" i="1"/>
  <c r="G661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E58" i="2"/>
  <c r="C59" i="2"/>
  <c r="D59" i="2"/>
  <c r="D62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C112" i="2"/>
  <c r="C113" i="2"/>
  <c r="E113" i="2"/>
  <c r="D115" i="2"/>
  <c r="F115" i="2"/>
  <c r="G115" i="2"/>
  <c r="C119" i="2"/>
  <c r="E119" i="2"/>
  <c r="E120" i="2"/>
  <c r="E121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C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F461" i="1" s="1"/>
  <c r="H639" i="1" s="1"/>
  <c r="G452" i="1"/>
  <c r="H452" i="1"/>
  <c r="F460" i="1"/>
  <c r="G460" i="1"/>
  <c r="G461" i="1" s="1"/>
  <c r="H640" i="1" s="1"/>
  <c r="H460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G641" i="1"/>
  <c r="G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E78" i="2"/>
  <c r="G552" i="1"/>
  <c r="G338" i="1"/>
  <c r="G352" i="1" s="1"/>
  <c r="H338" i="1"/>
  <c r="H352" i="1" s="1"/>
  <c r="L211" i="1" l="1"/>
  <c r="L256" i="1"/>
  <c r="H257" i="1"/>
  <c r="H271" i="1" s="1"/>
  <c r="F192" i="1"/>
  <c r="C121" i="2"/>
  <c r="L570" i="1"/>
  <c r="I571" i="1"/>
  <c r="L544" i="1"/>
  <c r="H545" i="1"/>
  <c r="H461" i="1"/>
  <c r="H641" i="1" s="1"/>
  <c r="J641" i="1" s="1"/>
  <c r="L419" i="1"/>
  <c r="L434" i="1" s="1"/>
  <c r="G638" i="1" s="1"/>
  <c r="J638" i="1" s="1"/>
  <c r="E112" i="2"/>
  <c r="C131" i="2"/>
  <c r="H140" i="1"/>
  <c r="H112" i="1"/>
  <c r="G62" i="2"/>
  <c r="C91" i="2"/>
  <c r="K550" i="1"/>
  <c r="D5" i="13"/>
  <c r="C5" i="13" s="1"/>
  <c r="J476" i="1"/>
  <c r="H626" i="1" s="1"/>
  <c r="F476" i="1"/>
  <c r="H622" i="1" s="1"/>
  <c r="J622" i="1" s="1"/>
  <c r="I408" i="1"/>
  <c r="G192" i="1"/>
  <c r="K338" i="1"/>
  <c r="K352" i="1" s="1"/>
  <c r="D50" i="2"/>
  <c r="A31" i="12"/>
  <c r="F78" i="2"/>
  <c r="F81" i="2" s="1"/>
  <c r="D91" i="2"/>
  <c r="J257" i="1"/>
  <c r="J271" i="1" s="1"/>
  <c r="C38" i="12"/>
  <c r="C37" i="12"/>
  <c r="C40" i="12" s="1"/>
  <c r="A40" i="12" s="1"/>
  <c r="E122" i="2"/>
  <c r="E128" i="2" s="1"/>
  <c r="E118" i="2"/>
  <c r="I169" i="1"/>
  <c r="D63" i="2"/>
  <c r="J634" i="1"/>
  <c r="K500" i="1"/>
  <c r="I476" i="1"/>
  <c r="H625" i="1" s="1"/>
  <c r="H408" i="1"/>
  <c r="H644" i="1" s="1"/>
  <c r="J644" i="1" s="1"/>
  <c r="I257" i="1"/>
  <c r="I271" i="1" s="1"/>
  <c r="H52" i="1"/>
  <c r="H619" i="1" s="1"/>
  <c r="E103" i="2"/>
  <c r="D81" i="2"/>
  <c r="C78" i="2"/>
  <c r="C81" i="2" s="1"/>
  <c r="C70" i="2"/>
  <c r="D18" i="2"/>
  <c r="C26" i="10"/>
  <c r="H169" i="1"/>
  <c r="F169" i="1"/>
  <c r="E62" i="2"/>
  <c r="E63" i="2" s="1"/>
  <c r="L401" i="1"/>
  <c r="C139" i="2" s="1"/>
  <c r="L393" i="1"/>
  <c r="C138" i="2" s="1"/>
  <c r="C20" i="12"/>
  <c r="C19" i="12"/>
  <c r="C21" i="12"/>
  <c r="C22" i="12" s="1"/>
  <c r="A22" i="12" s="1"/>
  <c r="C12" i="12"/>
  <c r="C11" i="12"/>
  <c r="C10" i="12"/>
  <c r="L309" i="1"/>
  <c r="C10" i="10"/>
  <c r="L247" i="1"/>
  <c r="D29" i="13"/>
  <c r="C29" i="13" s="1"/>
  <c r="J571" i="1"/>
  <c r="F571" i="1"/>
  <c r="L565" i="1"/>
  <c r="H571" i="1"/>
  <c r="J545" i="1"/>
  <c r="L433" i="1"/>
  <c r="L427" i="1"/>
  <c r="C123" i="2"/>
  <c r="G81" i="2"/>
  <c r="F18" i="2"/>
  <c r="C132" i="2"/>
  <c r="F130" i="2"/>
  <c r="F144" i="2" s="1"/>
  <c r="F145" i="2" s="1"/>
  <c r="G112" i="1"/>
  <c r="L229" i="1"/>
  <c r="L257" i="1" s="1"/>
  <c r="L271" i="1" s="1"/>
  <c r="G632" i="1" s="1"/>
  <c r="J632" i="1" s="1"/>
  <c r="F22" i="13"/>
  <c r="C22" i="13" s="1"/>
  <c r="J645" i="1"/>
  <c r="J639" i="1"/>
  <c r="K605" i="1"/>
  <c r="G648" i="1" s="1"/>
  <c r="I460" i="1"/>
  <c r="I452" i="1"/>
  <c r="I461" i="1" s="1"/>
  <c r="H642" i="1" s="1"/>
  <c r="F338" i="1"/>
  <c r="F352" i="1" s="1"/>
  <c r="G164" i="2"/>
  <c r="G157" i="2"/>
  <c r="G156" i="2"/>
  <c r="C114" i="2"/>
  <c r="G476" i="1"/>
  <c r="H623" i="1" s="1"/>
  <c r="J623" i="1" s="1"/>
  <c r="H476" i="1"/>
  <c r="H624" i="1" s="1"/>
  <c r="J624" i="1" s="1"/>
  <c r="L534" i="1"/>
  <c r="H552" i="1"/>
  <c r="F552" i="1"/>
  <c r="K551" i="1"/>
  <c r="K545" i="1"/>
  <c r="I545" i="1"/>
  <c r="G545" i="1"/>
  <c r="K549" i="1"/>
  <c r="K552" i="1" s="1"/>
  <c r="L524" i="1"/>
  <c r="J651" i="1"/>
  <c r="K598" i="1"/>
  <c r="G647" i="1" s="1"/>
  <c r="J640" i="1"/>
  <c r="I446" i="1"/>
  <c r="G642" i="1" s="1"/>
  <c r="L270" i="1"/>
  <c r="G257" i="1"/>
  <c r="G271" i="1" s="1"/>
  <c r="C12" i="10"/>
  <c r="C17" i="10"/>
  <c r="D14" i="13"/>
  <c r="C14" i="13" s="1"/>
  <c r="F112" i="1"/>
  <c r="E31" i="2"/>
  <c r="D31" i="2"/>
  <c r="J617" i="1"/>
  <c r="C18" i="2"/>
  <c r="C16" i="13"/>
  <c r="H660" i="1"/>
  <c r="H664" i="1" s="1"/>
  <c r="H672" i="1" s="1"/>
  <c r="C6" i="10" s="1"/>
  <c r="E13" i="13"/>
  <c r="C13" i="13" s="1"/>
  <c r="E8" i="13"/>
  <c r="C8" i="13" s="1"/>
  <c r="D12" i="13"/>
  <c r="C12" i="13" s="1"/>
  <c r="L290" i="1"/>
  <c r="F660" i="1" s="1"/>
  <c r="L539" i="1"/>
  <c r="K503" i="1"/>
  <c r="L382" i="1"/>
  <c r="G636" i="1" s="1"/>
  <c r="J636" i="1" s="1"/>
  <c r="E109" i="2"/>
  <c r="C62" i="2"/>
  <c r="F661" i="1"/>
  <c r="I661" i="1" s="1"/>
  <c r="C19" i="10"/>
  <c r="C15" i="10"/>
  <c r="C35" i="10"/>
  <c r="C36" i="10" s="1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I662" i="1" s="1"/>
  <c r="H25" i="13"/>
  <c r="E81" i="2"/>
  <c r="L351" i="1"/>
  <c r="H647" i="1"/>
  <c r="J647" i="1" s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G140" i="1"/>
  <c r="F140" i="1"/>
  <c r="G63" i="2"/>
  <c r="G104" i="2" s="1"/>
  <c r="J618" i="1"/>
  <c r="G42" i="2"/>
  <c r="G50" i="2" s="1"/>
  <c r="J51" i="1"/>
  <c r="G16" i="2"/>
  <c r="G18" i="2" s="1"/>
  <c r="J19" i="1"/>
  <c r="G621" i="1" s="1"/>
  <c r="F545" i="1"/>
  <c r="H434" i="1"/>
  <c r="J620" i="1"/>
  <c r="J619" i="1"/>
  <c r="D103" i="2"/>
  <c r="I140" i="1"/>
  <c r="I193" i="1" s="1"/>
  <c r="G630" i="1" s="1"/>
  <c r="J630" i="1" s="1"/>
  <c r="J652" i="1"/>
  <c r="G571" i="1"/>
  <c r="I434" i="1"/>
  <c r="G434" i="1"/>
  <c r="I663" i="1"/>
  <c r="C27" i="10"/>
  <c r="G635" i="1"/>
  <c r="J635" i="1" s="1"/>
  <c r="J642" i="1" l="1"/>
  <c r="G660" i="1"/>
  <c r="G664" i="1" s="1"/>
  <c r="G667" i="1" s="1"/>
  <c r="G51" i="2"/>
  <c r="E115" i="2"/>
  <c r="L338" i="1"/>
  <c r="L352" i="1" s="1"/>
  <c r="G633" i="1" s="1"/>
  <c r="J633" i="1" s="1"/>
  <c r="C39" i="10"/>
  <c r="C115" i="2"/>
  <c r="F104" i="2"/>
  <c r="D104" i="2"/>
  <c r="C13" i="12"/>
  <c r="A13" i="12" s="1"/>
  <c r="L408" i="1"/>
  <c r="C141" i="2"/>
  <c r="C144" i="2" s="1"/>
  <c r="D31" i="13"/>
  <c r="C31" i="13" s="1"/>
  <c r="C128" i="2"/>
  <c r="H667" i="1"/>
  <c r="G672" i="1"/>
  <c r="C5" i="10" s="1"/>
  <c r="E145" i="2"/>
  <c r="F33" i="13"/>
  <c r="H648" i="1"/>
  <c r="J648" i="1" s="1"/>
  <c r="I660" i="1"/>
  <c r="I664" i="1" s="1"/>
  <c r="I672" i="1" s="1"/>
  <c r="C7" i="10" s="1"/>
  <c r="C28" i="10"/>
  <c r="D19" i="10" s="1"/>
  <c r="F193" i="1"/>
  <c r="G627" i="1" s="1"/>
  <c r="J627" i="1" s="1"/>
  <c r="C25" i="13"/>
  <c r="H33" i="13"/>
  <c r="E33" i="13"/>
  <c r="D35" i="13" s="1"/>
  <c r="L545" i="1"/>
  <c r="F664" i="1"/>
  <c r="C63" i="2"/>
  <c r="C104" i="2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C145" i="2"/>
  <c r="G637" i="1"/>
  <c r="J637" i="1" s="1"/>
  <c r="H646" i="1"/>
  <c r="J646" i="1" s="1"/>
  <c r="D26" i="10"/>
  <c r="C30" i="10"/>
  <c r="D24" i="10"/>
  <c r="D10" i="10"/>
  <c r="D20" i="10"/>
  <c r="D15" i="10"/>
  <c r="D25" i="10"/>
  <c r="D23" i="10"/>
  <c r="D13" i="10"/>
  <c r="D11" i="10"/>
  <c r="D21" i="10"/>
  <c r="D27" i="10"/>
  <c r="D18" i="10"/>
  <c r="D17" i="10"/>
  <c r="D22" i="10"/>
  <c r="D12" i="10"/>
  <c r="D16" i="10"/>
  <c r="F672" i="1"/>
  <c r="C4" i="10" s="1"/>
  <c r="F667" i="1"/>
  <c r="I667" i="1"/>
  <c r="C41" i="10"/>
  <c r="D38" i="10" s="1"/>
  <c r="H65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<sst xmlns="http://schemas.openxmlformats.org/spreadsheetml/2006/main" count="3955" uniqueCount="913">
  <si>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</si>
  <si>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</si>
  <si>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</si>
  <si>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</si>
  <si>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</si>
  <si>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</si>
  <si>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</si>
  <si>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</si>
  <si>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</si>
  <si>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</si>
  <si>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</si>
  <si>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</si>
  <si>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</si>
  <si>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</si>
  <si>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</si>
  <si>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</si>
  <si>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</si>
  <si>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</si>
  <si>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</si>
  <si>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</si>
  <si>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</si>
  <si>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</si>
  <si>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</si>
  <si>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</si>
  <si>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</si>
  <si>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</si>
  <si>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</si>
  <si>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</si>
  <si>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</si>
  <si>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</si>
  <si>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</si>
  <si>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</si>
  <si>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</si>
  <si>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</si>
  <si>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</si>
  <si>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</si>
  <si>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</si>
  <si>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</si>
  <si>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</si>
  <si>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</si>
  <si>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</si>
  <si>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</si>
  <si>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</si>
  <si>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</si>
  <si>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</si>
  <si>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</si>
  <si>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</si>
  <si>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</si>
  <si>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</si>
  <si>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</si>
  <si>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</si>
  <si>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</si>
  <si>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</si>
  <si>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</si>
  <si>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</si>
  <si>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</si>
  <si>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</si>
  <si>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</si>
  <si>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</si>
  <si>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</si>
  <si>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</si>
  <si>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</si>
  <si>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</si>
  <si>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</si>
  <si>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</si>
  <si>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</si>
  <si>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</si>
  <si>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</si>
  <si>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</si>
  <si>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</si>
  <si>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</si>
  <si>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</si>
  <si>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</si>
  <si>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</si>
  <si>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</si>
  <si>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</si>
  <si>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</si>
  <si>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</si>
  <si>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</si>
  <si>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</si>
  <si>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</si>
  <si>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</si>
  <si>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</si>
  <si>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</si>
  <si>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</si>
  <si>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</si>
  <si>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</si>
  <si>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</si>
  <si>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</si>
  <si>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</si>
  <si>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</si>
  <si>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</si>
  <si>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</si>
  <si>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</si>
  <si>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</si>
  <si>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</si>
  <si>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</si>
  <si>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</si>
  <si>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</si>
  <si>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</si>
  <si>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</si>
  <si>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</si>
  <si>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</si>
  <si>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</si>
  <si>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</si>
  <si>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</si>
  <si>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</si>
  <si>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</si>
  <si>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</si>
  <si>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</si>
  <si>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</si>
  <si>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</si>
  <si>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</si>
  <si>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</si>
  <si>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</si>
  <si>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</si>
  <si>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</si>
  <si>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</si>
  <si>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</si>
  <si>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</si>
  <si>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</si>
  <si>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</si>
  <si>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</si>
  <si>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</si>
  <si>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</si>
  <si>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</si>
  <si>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</si>
  <si>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</si>
  <si>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</si>
  <si>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</si>
  <si>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</si>
  <si>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</si>
  <si>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</si>
  <si>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</si>
  <si>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</si>
  <si>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</si>
  <si>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</si>
  <si>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</si>
  <si>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</si>
  <si>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</si>
  <si>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</si>
  <si>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</si>
  <si>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</si>
  <si>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</si>
  <si>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</si>
  <si>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</si>
  <si>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</si>
  <si>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</si>
  <si>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</si>
  <si>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</si>
  <si>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</si>
  <si>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</si>
  <si>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</si>
  <si>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</si>
  <si>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</si>
  <si>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</si>
  <si>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</si>
  <si>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</si>
  <si>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</si>
  <si>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</si>
  <si>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</si>
  <si>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</si>
  <si>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</si>
  <si>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</si>
  <si>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</si>
  <si>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</si>
  <si>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</si>
  <si>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</si>
  <si>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</si>
  <si>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</si>
  <si>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</si>
  <si>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</si>
  <si>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</si>
  <si>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</si>
  <si>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</si>
  <si>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</si>
  <si>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</si>
  <si>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</si>
  <si>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</si>
  <si>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</si>
  <si>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</si>
  <si>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</si>
  <si>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</si>
  <si>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</si>
  <si>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</si>
  <si>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</si>
  <si>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</si>
  <si>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</si>
  <si>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</si>
  <si>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</si>
  <si>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</si>
  <si>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</si>
  <si>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</si>
  <si>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</si>
  <si>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</si>
  <si>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</si>
  <si>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</si>
  <si>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</si>
  <si>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</si>
  <si>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</si>
  <si>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</si>
  <si>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</si>
  <si>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</si>
  <si>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</si>
  <si>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</si>
  <si>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</si>
  <si>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</si>
  <si>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</si>
  <si>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</si>
  <si>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</si>
  <si>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</si>
  <si>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</si>
  <si>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</si>
  <si>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</si>
  <si>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</si>
  <si>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</si>
  <si>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</si>
  <si>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</si>
  <si>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</si>
  <si>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</si>
  <si>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</si>
  <si>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</si>
  <si>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</si>
  <si>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</si>
  <si>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</si>
  <si>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</si>
  <si>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</si>
  <si>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</si>
  <si>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</si>
  <si>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</si>
  <si>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</si>
  <si>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</si>
  <si>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</si>
  <si>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</si>
  <si>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</si>
  <si>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</si>
  <si>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</si>
  <si>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</si>
  <si>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</si>
  <si>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</si>
  <si>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</si>
  <si>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</si>
  <si>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</si>
  <si>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</si>
  <si>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</si>
  <si>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</si>
  <si>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</si>
  <si>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</si>
  <si>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</si>
  <si>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</si>
  <si>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</si>
  <si>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</si>
  <si>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</si>
  <si>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</si>
  <si>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</si>
  <si>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</si>
  <si>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</si>
  <si>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</si>
  <si>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</si>
  <si>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</si>
  <si>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</si>
  <si>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</si>
  <si>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</si>
  <si>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</si>
  <si>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</si>
  <si>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</si>
  <si>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</si>
  <si>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</si>
  <si>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</si>
  <si>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</si>
  <si>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</si>
  <si>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</si>
  <si>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</si>
  <si>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</si>
  <si>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</si>
  <si>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</si>
  <si>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</si>
  <si>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</si>
  <si>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</si>
  <si>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</si>
  <si>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</si>
  <si>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</si>
  <si>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</si>
  <si>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</si>
  <si>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</si>
  <si>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</si>
  <si>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</si>
  <si>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</si>
  <si>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</si>
  <si>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</si>
  <si>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</si>
  <si>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</si>
  <si>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</si>
  <si>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</si>
  <si>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</si>
  <si>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</si>
  <si>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</si>
  <si>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</si>
  <si>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</si>
  <si>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</si>
  <si>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</si>
  <si>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</si>
  <si>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</si>
  <si>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</si>
  <si>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</si>
  <si>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</si>
  <si>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</si>
  <si>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</si>
  <si>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</si>
  <si>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</si>
  <si>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</si>
  <si>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</si>
  <si>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</si>
  <si>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</si>
  <si>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</si>
  <si>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</si>
  <si>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</si>
  <si>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</si>
  <si>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</si>
  <si>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</si>
  <si>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</si>
  <si>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</si>
  <si>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</si>
  <si>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</si>
  <si>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</si>
  <si>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</si>
  <si>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</si>
  <si>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</si>
  <si>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</si>
  <si>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</si>
  <si>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</si>
  <si>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</si>
  <si>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</si>
  <si>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</si>
  <si>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</si>
  <si>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</si>
  <si>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</si>
  <si>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</si>
  <si>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</si>
  <si>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</si>
  <si>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</si>
  <si>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</si>
  <si>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</si>
  <si>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</si>
  <si>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</si>
  <si>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</si>
  <si>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</si>
  <si>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</si>
  <si>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</si>
  <si>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</si>
  <si>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</si>
  <si>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</si>
  <si>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</si>
  <si>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</si>
  <si>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</si>
  <si>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</si>
  <si>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</si>
  <si>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</si>
  <si>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</si>
  <si>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</si>
  <si>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</si>
  <si>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</si>
  <si>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</si>
  <si>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</si>
  <si>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</si>
  <si>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</si>
  <si>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</si>
  <si>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</si>
  <si>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</si>
  <si>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</si>
  <si>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</si>
  <si>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</si>
  <si>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</si>
  <si>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</si>
  <si>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</si>
  <si>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</si>
  <si>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</si>
  <si>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</si>
  <si>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</si>
  <si>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</si>
  <si>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</si>
  <si>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</si>
  <si>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</si>
  <si>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</si>
  <si>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</si>
  <si>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</si>
  <si>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</si>
  <si>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</si>
  <si>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</si>
  <si>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</si>
  <si>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</si>
  <si>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</si>
  <si>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</si>
  <si>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</si>
  <si>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</si>
  <si>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</si>
  <si>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</si>
  <si>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</si>
  <si>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</si>
  <si>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</si>
  <si>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</si>
  <si>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</si>
  <si>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</si>
  <si>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</si>
  <si>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</si>
  <si>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</si>
  <si>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</si>
  <si>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</si>
  <si>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</si>
  <si>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</si>
  <si>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</si>
  <si>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</si>
  <si>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</si>
  <si>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</si>
  <si>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</si>
  <si>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</si>
  <si>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</si>
  <si>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</si>
  <si>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</si>
  <si>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</si>
  <si>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</si>
  <si>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</si>
  <si>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</si>
  <si>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</si>
  <si>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</si>
  <si>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</si>
  <si>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</si>
  <si>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</si>
  <si>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</si>
  <si>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</si>
  <si>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</si>
  <si>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</si>
  <si>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</si>
  <si>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</si>
  <si>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</si>
  <si>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</si>
  <si>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</si>
  <si>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</si>
  <si>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</si>
  <si>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</si>
  <si>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</si>
  <si>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</si>
  <si>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</si>
  <si>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</si>
  <si>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</si>
  <si>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</si>
  <si>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</si>
  <si>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</si>
  <si>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</si>
  <si>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</si>
  <si>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</si>
  <si>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</si>
  <si>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</si>
  <si>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</si>
  <si>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</si>
  <si>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</si>
  <si>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</si>
  <si>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</si>
  <si>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</si>
  <si>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</si>
  <si>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</si>
  <si>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</si>
  <si>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</si>
  <si>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</si>
  <si>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</si>
  <si>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</si>
  <si>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</si>
  <si>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</si>
  <si>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</si>
  <si>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</si>
  <si>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</si>
  <si>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</si>
  <si>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</si>
  <si>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</si>
  <si>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</si>
  <si>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</si>
  <si>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</si>
  <si>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</si>
  <si>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</si>
  <si>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</si>
  <si>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</si>
  <si>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</si>
  <si>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</si>
  <si>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</si>
  <si>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</si>
  <si>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</si>
  <si>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</si>
  <si>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</si>
  <si>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</si>
  <si>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</si>
  <si>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</si>
  <si>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</si>
  <si>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</si>
  <si>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</si>
  <si>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</si>
  <si>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</si>
  <si>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</si>
  <si>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</si>
  <si>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</si>
  <si>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</si>
  <si>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</si>
  <si>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</si>
  <si>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</si>
  <si>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</si>
  <si>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</si>
  <si>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</si>
  <si>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</si>
  <si>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</si>
  <si>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</si>
  <si>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</si>
  <si>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</si>
  <si>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</si>
  <si>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</si>
  <si>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</si>
  <si>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</si>
  <si>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</si>
  <si>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</si>
  <si>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</si>
  <si>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</si>
  <si>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</si>
  <si>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</si>
  <si>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</si>
  <si>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</si>
  <si>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</si>
  <si>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</si>
  <si>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</si>
  <si>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</si>
  <si>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</si>
  <si>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</si>
  <si>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</si>
  <si>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</si>
  <si>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</si>
  <si>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</si>
  <si>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</si>
  <si>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</si>
  <si>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</si>
  <si>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</si>
  <si>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</si>
  <si>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</si>
  <si>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</si>
  <si>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</si>
  <si>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</si>
  <si>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</si>
  <si>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</si>
  <si>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</si>
  <si>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</si>
  <si>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</si>
  <si>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</si>
  <si>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</si>
  <si>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</si>
  <si>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</si>
  <si>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</si>
  <si>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</si>
  <si>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</si>
  <si>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</si>
  <si>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</si>
  <si>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</si>
  <si>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</si>
  <si>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</si>
  <si>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</si>
  <si>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</si>
  <si>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</si>
  <si>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</si>
  <si>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</si>
  <si>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</si>
  <si>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</si>
  <si>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</si>
  <si>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</si>
  <si>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</si>
  <si>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</si>
  <si>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</si>
  <si>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</si>
  <si>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</si>
  <si>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</si>
  <si>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</si>
  <si>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</si>
  <si>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</si>
  <si>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</si>
  <si>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</si>
  <si>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</si>
  <si>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</si>
  <si>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</si>
  <si>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</si>
  <si>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</si>
  <si>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</si>
  <si>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</si>
  <si>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</si>
  <si>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</si>
  <si>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</si>
  <si>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</si>
  <si>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</si>
  <si>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</si>
  <si>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</si>
  <si>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</si>
  <si>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</si>
  <si>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</si>
  <si>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</si>
  <si>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</si>
  <si>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</si>
  <si>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</si>
  <si>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</si>
  <si>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</si>
  <si>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</si>
  <si>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</si>
  <si>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</si>
  <si>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</si>
  <si>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</si>
  <si>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</si>
  <si>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</si>
  <si>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</si>
  <si>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</si>
  <si>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</si>
  <si>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</si>
  <si>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</si>
  <si>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</si>
  <si>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</si>
  <si>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</si>
  <si>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</si>
  <si>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</si>
  <si>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</si>
  <si>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</si>
  <si>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</si>
  <si>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</si>
  <si>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</si>
  <si>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</si>
  <si>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</si>
  <si>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</si>
  <si>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</si>
  <si>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</si>
  <si>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</si>
  <si>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</si>
  <si>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</si>
  <si>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</si>
  <si>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</si>
  <si>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</si>
  <si>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</si>
  <si>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</si>
  <si>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</si>
  <si>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</si>
  <si>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</si>
  <si>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</si>
  <si>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</si>
  <si>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</si>
  <si>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</si>
  <si>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</si>
  <si>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</si>
  <si>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</si>
  <si>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</si>
  <si>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</si>
  <si>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</si>
  <si>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</si>
  <si>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</si>
  <si>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</si>
  <si>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</si>
  <si>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</si>
  <si>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</si>
  <si>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</si>
  <si>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</si>
  <si>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</si>
  <si>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</si>
  <si>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</si>
  <si>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</si>
  <si>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</si>
  <si>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</si>
  <si>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</si>
  <si>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</si>
  <si>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</si>
  <si>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</si>
  <si>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</si>
  <si>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</si>
  <si>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</si>
  <si>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</si>
  <si>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</si>
  <si>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</si>
  <si>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</si>
  <si>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</si>
  <si>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</si>
  <si>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</si>
  <si>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</si>
  <si>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</si>
  <si>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</si>
  <si>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</si>
  <si>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</si>
  <si>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</si>
  <si>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</si>
  <si>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</si>
  <si>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</si>
  <si>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</si>
  <si>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</si>
  <si>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</si>
  <si>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</si>
  <si>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</si>
  <si>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</si>
  <si>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</si>
  <si>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</si>
  <si>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</si>
  <si>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</si>
  <si>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</si>
  <si>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</si>
  <si>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</si>
  <si>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</si>
  <si>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</si>
  <si>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</si>
  <si>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</si>
  <si>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</si>
  <si>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</si>
  <si>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</si>
  <si>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</si>
  <si>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</si>
  <si>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</si>
  <si>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</si>
  <si>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</si>
  <si>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</si>
  <si>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</si>
  <si>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</si>
  <si>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</si>
  <si>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</si>
  <si>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</si>
  <si>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</si>
  <si>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</si>
  <si>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</si>
  <si>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</si>
  <si>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</si>
  <si>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</si>
  <si>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</si>
  <si>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</si>
  <si>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</si>
  <si>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</si>
  <si>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</si>
  <si>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</si>
  <si>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</si>
  <si>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</si>
  <si>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</si>
  <si>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</si>
  <si>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</si>
  <si>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</si>
  <si>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</si>
  <si>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</si>
  <si>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</si>
  <si>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</si>
  <si>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</si>
  <si>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</si>
  <si>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</si>
  <si>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</si>
  <si>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</si>
  <si>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</si>
  <si>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</si>
  <si>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</si>
  <si>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</si>
  <si>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</si>
  <si>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</si>
  <si>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</si>
  <si>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</si>
  <si>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</si>
  <si>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</si>
  <si>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</si>
  <si>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</si>
  <si>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</si>
  <si>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</si>
  <si>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</si>
  <si>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</si>
  <si>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</si>
  <si>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</si>
  <si>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</si>
  <si>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</si>
  <si>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</si>
  <si>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</si>
  <si>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</si>
  <si>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</si>
  <si>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</si>
  <si>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</si>
  <si>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</si>
  <si>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</si>
  <si>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</si>
  <si>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</si>
  <si>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</si>
  <si>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</si>
  <si>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</si>
  <si>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</si>
  <si>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</si>
  <si>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</si>
  <si>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</si>
  <si>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</si>
  <si>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</si>
  <si>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</si>
  <si>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</si>
  <si>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</si>
  <si>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</si>
  <si>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</si>
  <si>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</si>
  <si>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</si>
  <si>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</si>
  <si>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</si>
  <si>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</si>
  <si>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</si>
  <si>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</si>
  <si>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</si>
  <si>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</si>
  <si>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</si>
  <si>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</si>
  <si>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</si>
  <si>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</si>
  <si>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</si>
  <si>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</si>
  <si>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</si>
  <si>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</si>
  <si>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</si>
  <si>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</si>
  <si>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</si>
  <si>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</si>
  <si>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</si>
  <si>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</si>
  <si>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</si>
  <si>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</si>
  <si>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</si>
  <si>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</si>
  <si>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</si>
  <si>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</si>
  <si>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</si>
  <si>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</si>
  <si>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</si>
  <si>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</si>
  <si>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</si>
  <si>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</si>
  <si>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</si>
  <si>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</si>
  <si>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</si>
  <si>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</si>
  <si>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</si>
  <si>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</si>
  <si>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</si>
  <si>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</si>
  <si>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</si>
  <si>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</si>
  <si>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</si>
  <si>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</si>
  <si>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</si>
  <si>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</si>
  <si>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</si>
  <si>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</si>
  <si>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</si>
  <si>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</si>
  <si>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</si>
  <si>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</si>
  <si>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</si>
  <si>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</si>
  <si>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</si>
  <si>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</si>
  <si>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</si>
  <si>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</si>
  <si>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</si>
  <si>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</si>
  <si>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</si>
  <si>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</si>
  <si>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</si>
  <si>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</si>
  <si>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</si>
  <si>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</si>
  <si>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</si>
  <si>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</si>
  <si>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</si>
  <si>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</si>
  <si>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</si>
  <si>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</si>
  <si>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</si>
  <si>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</si>
  <si>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</si>
  <si>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</si>
  <si>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</si>
  <si>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</si>
  <si>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</si>
  <si>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</si>
  <si>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</si>
  <si>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</si>
  <si>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</si>
  <si>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</si>
  <si>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</si>
  <si>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</si>
  <si>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</si>
  <si>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</si>
  <si>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</si>
  <si>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</si>
  <si>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</si>
  <si>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</si>
  <si>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</si>
  <si>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</si>
  <si>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</si>
  <si>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</si>
  <si>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</si>
  <si>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</si>
  <si>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</si>
  <si>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</si>
  <si>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</si>
  <si>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</si>
  <si>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</si>
  <si>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</si>
  <si>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</si>
  <si>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</si>
  <si>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</si>
  <si>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</si>
  <si>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</si>
  <si>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</si>
  <si>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</si>
  <si>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</si>
  <si>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</si>
  <si>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</si>
  <si>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</si>
  <si>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</si>
  <si>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</si>
  <si>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</si>
  <si>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</si>
  <si>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</si>
  <si>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Piermont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</si>
</sst>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6640625" hidden="1" customWidth="1"/>
    <col min="5" max="5" width="6.6640625" bestFit="1" customWidth="1"/>
    <col min="6" max="6" width="17" style="20" customWidth="1"/>
    <col min="7" max="8" width="17.1640625" style="20" customWidth="1"/>
    <col min="9" max="9" width="18.66406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435</v>
      </c>
      <c r="C2" s="21">
        <v>435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242265.84+100</f>
        <v>242365.84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220275.13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28776.080000000002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20238.77</v>
      </c>
      <c r="G13" s="18">
        <v>1149.73</v>
      </c>
      <c r="H13" s="18">
        <v>8862.32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1800</v>
      </c>
      <c r="G14" s="18">
        <v>365.15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931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265335.61</v>
      </c>
      <c r="G19" s="41">
        <f>SUM(G9:G18)</f>
        <v>1514.88</v>
      </c>
      <c r="H19" s="41">
        <f>SUM(H9:H18)</f>
        <v>8862.32</v>
      </c>
      <c r="I19" s="41">
        <f>SUM(I9:I18)</f>
        <v>0</v>
      </c>
      <c r="J19" s="41">
        <f>SUM(J9:J18)</f>
        <v>249051.21000000002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13167.31+6813</f>
        <v>19980.309999999998</v>
      </c>
      <c r="G22" s="18">
        <v>1514.88</v>
      </c>
      <c r="H22" s="18">
        <v>7280.89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114116.36+3938.55</f>
        <v>118054.91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2854.64-3267.69+299.8+654.23+22611.84+33.82</f>
        <v>23186.639999999999</v>
      </c>
      <c r="G29" s="18"/>
      <c r="H29" s="18">
        <f>171.82+107.98+9.85+14.83+1275.92+1.03</f>
        <v>1581.43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161221.85999999999</v>
      </c>
      <c r="G32" s="41">
        <f>SUM(G22:G31)</f>
        <v>1514.88</v>
      </c>
      <c r="H32" s="41">
        <f>SUM(H22:H31)</f>
        <v>8862.32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22000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38387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249051.21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-8834.51+(2001174.02-1881412.76-22000-38387)-6813</f>
        <v>43726.750000000007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104113.75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249051.21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265335.61</v>
      </c>
      <c r="G52" s="41">
        <f>G51+G32</f>
        <v>1514.88</v>
      </c>
      <c r="H52" s="41">
        <f>H51+H32</f>
        <v>8862.32</v>
      </c>
      <c r="I52" s="41">
        <f>I51+I32</f>
        <v>0</v>
      </c>
      <c r="J52" s="41">
        <f>J51+J32</f>
        <v>249051.21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1325181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1325181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12095.38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328.7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224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552.70000000000005</v>
      </c>
      <c r="G111" s="41">
        <f>SUM(G96:G110)</f>
        <v>12095.38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1325733.7</v>
      </c>
      <c r="G112" s="41">
        <f>G60+G111</f>
        <v>12095.38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295396.87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210307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505703.87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118618.05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19286.759999999998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2741.76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360.57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140646.57</v>
      </c>
      <c r="G136" s="41">
        <f>SUM(G123:G135)</f>
        <v>360.57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646350.43999999994</v>
      </c>
      <c r="G140" s="41">
        <f>G121+SUM(G136:G137)</f>
        <v>360.57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16021.7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8625.2199999999993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27814.93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27814.93</v>
      </c>
      <c r="G162" s="41">
        <f>SUM(G150:G161)</f>
        <v>8625.2199999999993</v>
      </c>
      <c r="H162" s="41">
        <f>SUM(H150:H161)</f>
        <v>16021.7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1465.74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29280.670000000002</v>
      </c>
      <c r="G169" s="41">
        <f>G147+G162+SUM(G163:G168)</f>
        <v>8625.2199999999993</v>
      </c>
      <c r="H169" s="41">
        <f>H147+H162+SUM(H163:H168)</f>
        <v>16021.7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24683.78</v>
      </c>
      <c r="H179" s="18"/>
      <c r="I179" s="18"/>
      <c r="J179" s="18">
        <v>6813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24683.78</v>
      </c>
      <c r="H183" s="41">
        <f>SUM(H179:H182)</f>
        <v>0</v>
      </c>
      <c r="I183" s="41">
        <f>SUM(I179:I182)</f>
        <v>0</v>
      </c>
      <c r="J183" s="41">
        <f>SUM(J179:J182)</f>
        <v>6813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24683.78</v>
      </c>
      <c r="H192" s="41">
        <f>+H183+SUM(H188:H191)</f>
        <v>0</v>
      </c>
      <c r="I192" s="41">
        <f>I177+I183+SUM(I188:I191)</f>
        <v>0</v>
      </c>
      <c r="J192" s="41">
        <f>J183</f>
        <v>6813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2001364.8099999998</v>
      </c>
      <c r="G193" s="47">
        <f>G112+G140+G169+G192</f>
        <v>45764.95</v>
      </c>
      <c r="H193" s="47">
        <f>H112+H140+H169+H192</f>
        <v>16021.7</v>
      </c>
      <c r="I193" s="47">
        <f>I112+I140+I169+I192</f>
        <v>0</v>
      </c>
      <c r="J193" s="47">
        <f>J112+J140+J192</f>
        <v>6813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327408.71999999997</v>
      </c>
      <c r="G197" s="18">
        <v>159672.79999999999</v>
      </c>
      <c r="H197" s="18">
        <f>31654.02-2.33+112.7</f>
        <v>31764.39</v>
      </c>
      <c r="I197" s="18">
        <v>13467.36</v>
      </c>
      <c r="J197" s="18">
        <v>973.42</v>
      </c>
      <c r="K197" s="18">
        <v>1212.76</v>
      </c>
      <c r="L197" s="19">
        <f>SUM(F197:K197)</f>
        <v>534499.45000000007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43877.87</v>
      </c>
      <c r="G198" s="18">
        <v>26482.45</v>
      </c>
      <c r="H198" s="18">
        <f>35083.28+131359.12</f>
        <v>166442.4</v>
      </c>
      <c r="I198" s="18">
        <f>1240.47</f>
        <v>1240.47</v>
      </c>
      <c r="J198" s="18">
        <v>385.79</v>
      </c>
      <c r="K198" s="18">
        <v>5</v>
      </c>
      <c r="L198" s="19">
        <f>SUM(F198:K198)</f>
        <v>238433.98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3460.2</v>
      </c>
      <c r="G200" s="18">
        <v>766.18</v>
      </c>
      <c r="H200" s="18">
        <v>1050</v>
      </c>
      <c r="I200" s="18">
        <v>90.15</v>
      </c>
      <c r="J200" s="18"/>
      <c r="K200" s="18">
        <v>1867</v>
      </c>
      <c r="L200" s="19">
        <f>SUM(F200:K200)</f>
        <v>7233.53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10791.25</v>
      </c>
      <c r="G202" s="18">
        <v>1420.41</v>
      </c>
      <c r="H202" s="18">
        <f>31501.42+605.5</f>
        <v>32106.92</v>
      </c>
      <c r="I202" s="18">
        <v>2082.85</v>
      </c>
      <c r="J202" s="18"/>
      <c r="K202" s="18">
        <v>2535.4499999999998</v>
      </c>
      <c r="L202" s="19">
        <f t="shared" ref="L202:L208" si="0">SUM(F202:K202)</f>
        <v>48936.88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61888.83</v>
      </c>
      <c r="G203" s="18">
        <v>31178.84</v>
      </c>
      <c r="H203" s="18">
        <f>1450+2679.97</f>
        <v>4129.9699999999993</v>
      </c>
      <c r="I203" s="18">
        <v>1729.72</v>
      </c>
      <c r="J203" s="18"/>
      <c r="K203" s="18"/>
      <c r="L203" s="19">
        <f t="shared" si="0"/>
        <v>98927.360000000001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1349.08</v>
      </c>
      <c r="G204" s="18">
        <v>110.23</v>
      </c>
      <c r="H204" s="18">
        <f>92473.92+2188.48</f>
        <v>94662.399999999994</v>
      </c>
      <c r="I204" s="18">
        <v>105.2</v>
      </c>
      <c r="J204" s="18"/>
      <c r="K204" s="18">
        <v>1726.55</v>
      </c>
      <c r="L204" s="19">
        <f t="shared" si="0"/>
        <v>97953.459999999992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78409.78</v>
      </c>
      <c r="G205" s="18">
        <v>29564.31</v>
      </c>
      <c r="H205" s="18">
        <f>2665.46</f>
        <v>2665.46</v>
      </c>
      <c r="I205" s="18">
        <v>1223.0899999999999</v>
      </c>
      <c r="J205" s="18"/>
      <c r="K205" s="18">
        <f>892+190.79</f>
        <v>1082.79</v>
      </c>
      <c r="L205" s="19">
        <f t="shared" si="0"/>
        <v>112945.43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31994.62</v>
      </c>
      <c r="G207" s="18">
        <v>16525.62</v>
      </c>
      <c r="H207" s="18">
        <f>6224.08+36365.07+752</f>
        <v>43341.15</v>
      </c>
      <c r="I207" s="18">
        <v>22101.919999999998</v>
      </c>
      <c r="J207" s="18">
        <v>303.95</v>
      </c>
      <c r="K207" s="18"/>
      <c r="L207" s="19">
        <f t="shared" si="0"/>
        <v>114267.26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37352.04</v>
      </c>
      <c r="I208" s="18"/>
      <c r="J208" s="18"/>
      <c r="K208" s="18"/>
      <c r="L208" s="19">
        <f t="shared" si="0"/>
        <v>37352.04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1702.5</v>
      </c>
      <c r="H209" s="18">
        <v>1414.12</v>
      </c>
      <c r="I209" s="18"/>
      <c r="J209" s="18"/>
      <c r="K209" s="18">
        <v>689.72</v>
      </c>
      <c r="L209" s="19">
        <f>SUM(F209:K209)</f>
        <v>3806.34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559180.35</v>
      </c>
      <c r="G211" s="41">
        <f t="shared" si="1"/>
        <v>267423.34000000003</v>
      </c>
      <c r="H211" s="41">
        <f t="shared" si="1"/>
        <v>414928.85</v>
      </c>
      <c r="I211" s="41">
        <f t="shared" si="1"/>
        <v>42040.759999999995</v>
      </c>
      <c r="J211" s="41">
        <f t="shared" si="1"/>
        <v>1663.16</v>
      </c>
      <c r="K211" s="41">
        <f t="shared" si="1"/>
        <v>9119.2699999999986</v>
      </c>
      <c r="L211" s="41">
        <f t="shared" si="1"/>
        <v>1294355.7300000002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415206.07</v>
      </c>
      <c r="I233" s="18"/>
      <c r="J233" s="18"/>
      <c r="K233" s="18"/>
      <c r="L233" s="19">
        <f>SUM(F233:K233)</f>
        <v>415206.07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64088.87</v>
      </c>
      <c r="I234" s="18"/>
      <c r="J234" s="18"/>
      <c r="K234" s="18"/>
      <c r="L234" s="19">
        <f>SUM(F234:K234)</f>
        <v>64088.87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30446.94</v>
      </c>
      <c r="I235" s="18"/>
      <c r="J235" s="18"/>
      <c r="K235" s="18"/>
      <c r="L235" s="19">
        <f>SUM(F235:K235)</f>
        <v>30446.94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>
        <v>1213.54</v>
      </c>
      <c r="I236" s="18"/>
      <c r="J236" s="18"/>
      <c r="K236" s="18"/>
      <c r="L236" s="19">
        <f>SUM(F236:K236)</f>
        <v>1213.54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2507.9899999999998</v>
      </c>
      <c r="I238" s="18"/>
      <c r="J238" s="18"/>
      <c r="K238" s="18"/>
      <c r="L238" s="19">
        <f t="shared" ref="L238:L244" si="4">SUM(F238:K238)</f>
        <v>2507.9899999999998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636.04999999999995</v>
      </c>
      <c r="G240" s="18">
        <v>112.52</v>
      </c>
      <c r="H240" s="18">
        <f>33382.2+804.12</f>
        <v>34186.32</v>
      </c>
      <c r="I240" s="18"/>
      <c r="J240" s="18"/>
      <c r="K240" s="18">
        <v>638.58000000000004</v>
      </c>
      <c r="L240" s="19">
        <f t="shared" si="4"/>
        <v>35573.47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13527.16</v>
      </c>
      <c r="I244" s="18"/>
      <c r="J244" s="18"/>
      <c r="K244" s="18"/>
      <c r="L244" s="19">
        <f t="shared" si="4"/>
        <v>13527.16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636.04999999999995</v>
      </c>
      <c r="G247" s="41">
        <f t="shared" si="5"/>
        <v>112.52</v>
      </c>
      <c r="H247" s="41">
        <f t="shared" si="5"/>
        <v>561176.89</v>
      </c>
      <c r="I247" s="41">
        <f t="shared" si="5"/>
        <v>0</v>
      </c>
      <c r="J247" s="41">
        <f t="shared" si="5"/>
        <v>0</v>
      </c>
      <c r="K247" s="41">
        <f t="shared" si="5"/>
        <v>638.58000000000004</v>
      </c>
      <c r="L247" s="41">
        <f t="shared" si="5"/>
        <v>562564.04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559816.4</v>
      </c>
      <c r="G257" s="41">
        <f t="shared" si="8"/>
        <v>267535.86000000004</v>
      </c>
      <c r="H257" s="41">
        <f t="shared" si="8"/>
        <v>976105.74</v>
      </c>
      <c r="I257" s="41">
        <f t="shared" si="8"/>
        <v>42040.759999999995</v>
      </c>
      <c r="J257" s="41">
        <f t="shared" si="8"/>
        <v>1663.16</v>
      </c>
      <c r="K257" s="41">
        <f t="shared" si="8"/>
        <v>9757.8499999999985</v>
      </c>
      <c r="L257" s="41">
        <f t="shared" si="8"/>
        <v>1856919.7700000003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24683.78</v>
      </c>
      <c r="L263" s="19">
        <f>SUM(F263:K263)</f>
        <v>24683.78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6813</v>
      </c>
      <c r="L266" s="19">
        <f t="shared" si="9"/>
        <v>6813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31496.78</v>
      </c>
      <c r="L270" s="41">
        <f t="shared" si="9"/>
        <v>31496.78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559816.4</v>
      </c>
      <c r="G271" s="42">
        <f t="shared" si="11"/>
        <v>267535.86000000004</v>
      </c>
      <c r="H271" s="42">
        <f t="shared" si="11"/>
        <v>976105.74</v>
      </c>
      <c r="I271" s="42">
        <f t="shared" si="11"/>
        <v>42040.759999999995</v>
      </c>
      <c r="J271" s="42">
        <f t="shared" si="11"/>
        <v>1663.16</v>
      </c>
      <c r="K271" s="42">
        <f t="shared" si="11"/>
        <v>41254.629999999997</v>
      </c>
      <c r="L271" s="42">
        <f t="shared" si="11"/>
        <v>1888416.5500000003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9033.9500000000007</v>
      </c>
      <c r="G276" s="18">
        <v>4297.58</v>
      </c>
      <c r="H276" s="18"/>
      <c r="I276" s="18">
        <v>1889.17</v>
      </c>
      <c r="J276" s="18">
        <v>458</v>
      </c>
      <c r="K276" s="18"/>
      <c r="L276" s="19">
        <f>SUM(F276:K276)</f>
        <v>15678.7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343</v>
      </c>
      <c r="L283" s="19">
        <f t="shared" si="12"/>
        <v>343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9033.9500000000007</v>
      </c>
      <c r="G290" s="42">
        <f t="shared" si="13"/>
        <v>4297.58</v>
      </c>
      <c r="H290" s="42">
        <f t="shared" si="13"/>
        <v>0</v>
      </c>
      <c r="I290" s="42">
        <f t="shared" si="13"/>
        <v>1889.17</v>
      </c>
      <c r="J290" s="42">
        <f t="shared" si="13"/>
        <v>458</v>
      </c>
      <c r="K290" s="42">
        <f t="shared" si="13"/>
        <v>343</v>
      </c>
      <c r="L290" s="41">
        <f t="shared" si="13"/>
        <v>16021.7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9033.9500000000007</v>
      </c>
      <c r="G338" s="41">
        <f t="shared" si="20"/>
        <v>4297.58</v>
      </c>
      <c r="H338" s="41">
        <f t="shared" si="20"/>
        <v>0</v>
      </c>
      <c r="I338" s="41">
        <f t="shared" si="20"/>
        <v>1889.17</v>
      </c>
      <c r="J338" s="41">
        <f t="shared" si="20"/>
        <v>458</v>
      </c>
      <c r="K338" s="41">
        <f t="shared" si="20"/>
        <v>343</v>
      </c>
      <c r="L338" s="41">
        <f t="shared" si="20"/>
        <v>16021.7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9033.9500000000007</v>
      </c>
      <c r="G352" s="41">
        <f>G338</f>
        <v>4297.58</v>
      </c>
      <c r="H352" s="41">
        <f>H338</f>
        <v>0</v>
      </c>
      <c r="I352" s="41">
        <f>I338</f>
        <v>1889.17</v>
      </c>
      <c r="J352" s="41">
        <f>J338</f>
        <v>458</v>
      </c>
      <c r="K352" s="47">
        <f>K338+K351</f>
        <v>343</v>
      </c>
      <c r="L352" s="41">
        <f>L338+L351</f>
        <v>16021.7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44795+437.86</f>
        <v>45232.86</v>
      </c>
      <c r="I358" s="18">
        <v>532.09</v>
      </c>
      <c r="J358" s="18"/>
      <c r="K358" s="18"/>
      <c r="L358" s="13">
        <f>SUM(F358:K358)</f>
        <v>45764.95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45232.86</v>
      </c>
      <c r="I362" s="47">
        <f t="shared" si="22"/>
        <v>532.09</v>
      </c>
      <c r="J362" s="47">
        <f t="shared" si="22"/>
        <v>0</v>
      </c>
      <c r="K362" s="47">
        <f t="shared" si="22"/>
        <v>0</v>
      </c>
      <c r="L362" s="47">
        <f t="shared" si="22"/>
        <v>45764.95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532.09</v>
      </c>
      <c r="G368" s="63"/>
      <c r="H368" s="63"/>
      <c r="I368" s="56">
        <f>SUM(F368:H368)</f>
        <v>532.09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532.09</v>
      </c>
      <c r="G369" s="47">
        <f>SUM(G367:G368)</f>
        <v>0</v>
      </c>
      <c r="H369" s="47">
        <f>SUM(H367:H368)</f>
        <v>0</v>
      </c>
      <c r="I369" s="47">
        <f>SUM(I367:I368)</f>
        <v>532.09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6813</v>
      </c>
      <c r="H398" s="18"/>
      <c r="I398" s="18"/>
      <c r="J398" s="24" t="s">
        <v>289</v>
      </c>
      <c r="K398" s="24" t="s">
        <v>289</v>
      </c>
      <c r="L398" s="56">
        <f t="shared" si="26"/>
        <v>6813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6813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6813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6813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6813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220275.13</v>
      </c>
      <c r="H440" s="18"/>
      <c r="I440" s="56">
        <f t="shared" si="33"/>
        <v>220275.13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f>21963.08+6813</f>
        <v>28776.080000000002</v>
      </c>
      <c r="H441" s="18"/>
      <c r="I441" s="56">
        <f t="shared" si="33"/>
        <v>28776.080000000002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249051.21000000002</v>
      </c>
      <c r="H446" s="13">
        <f>SUM(H439:H445)</f>
        <v>0</v>
      </c>
      <c r="I446" s="13">
        <f>SUM(I439:I445)</f>
        <v>249051.21000000002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242238.21+6813</f>
        <v>249051.21</v>
      </c>
      <c r="H459" s="18"/>
      <c r="I459" s="56">
        <f t="shared" si="34"/>
        <v>249051.21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249051.21</v>
      </c>
      <c r="H460" s="83">
        <f>SUM(H454:H459)</f>
        <v>0</v>
      </c>
      <c r="I460" s="83">
        <f>SUM(I454:I459)</f>
        <v>249051.21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249051.21</v>
      </c>
      <c r="H461" s="42">
        <f>H452+H460</f>
        <v>0</v>
      </c>
      <c r="I461" s="42">
        <f>I452+I460</f>
        <v>249051.21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f>1500+771.5+20985.26+(1859761.08-1891852.35)</f>
        <v>-8834.5100000000202</v>
      </c>
      <c r="G465" s="18">
        <f>617.81+(48151.51-48769.32)</f>
        <v>2.2737367544323206E-12</v>
      </c>
      <c r="H465" s="18">
        <v>0</v>
      </c>
      <c r="I465" s="18"/>
      <c r="J465" s="18">
        <f>278661.17+(24641.69-61064.65)</f>
        <v>242238.20999999996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2001174.02+190.79</f>
        <v>2001364.81</v>
      </c>
      <c r="G468" s="18">
        <v>45764.95</v>
      </c>
      <c r="H468" s="18">
        <v>16021.7</v>
      </c>
      <c r="I468" s="18"/>
      <c r="J468" s="18">
        <v>6813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0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2001364.81</v>
      </c>
      <c r="G470" s="53">
        <f>SUM(G468:G469)</f>
        <v>45764.95</v>
      </c>
      <c r="H470" s="53">
        <f>SUM(H468:H469)</f>
        <v>16021.7</v>
      </c>
      <c r="I470" s="53">
        <f>SUM(I468:I469)</f>
        <v>0</v>
      </c>
      <c r="J470" s="53">
        <f>SUM(J468:J469)</f>
        <v>6813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190.79+1881412.76+6813</f>
        <v>1888416.55</v>
      </c>
      <c r="G472" s="18">
        <v>45764.95</v>
      </c>
      <c r="H472" s="18">
        <v>16021.7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1888416.55</v>
      </c>
      <c r="G474" s="53">
        <f>SUM(G472:G473)</f>
        <v>45764.95</v>
      </c>
      <c r="H474" s="53">
        <f>SUM(H472:H473)</f>
        <v>16021.7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104113.75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249051.20999999996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43077.87</v>
      </c>
      <c r="G521" s="18">
        <v>26277.7</v>
      </c>
      <c r="H521" s="18">
        <f>35023.28+131359.12</f>
        <v>166382.39999999999</v>
      </c>
      <c r="I521" s="18">
        <v>806.66</v>
      </c>
      <c r="J521" s="18">
        <v>385.79</v>
      </c>
      <c r="K521" s="18">
        <v>5</v>
      </c>
      <c r="L521" s="88">
        <f>SUM(F521:K521)</f>
        <v>236935.42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64088.87</v>
      </c>
      <c r="I523" s="18"/>
      <c r="J523" s="18"/>
      <c r="K523" s="18"/>
      <c r="L523" s="88">
        <f>SUM(F523:K523)</f>
        <v>64088.87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43077.87</v>
      </c>
      <c r="G524" s="108">
        <f t="shared" ref="G524:L524" si="36">SUM(G521:G523)</f>
        <v>26277.7</v>
      </c>
      <c r="H524" s="108">
        <f t="shared" si="36"/>
        <v>230471.27</v>
      </c>
      <c r="I524" s="108">
        <f t="shared" si="36"/>
        <v>806.66</v>
      </c>
      <c r="J524" s="108">
        <f t="shared" si="36"/>
        <v>385.79</v>
      </c>
      <c r="K524" s="108">
        <f t="shared" si="36"/>
        <v>5</v>
      </c>
      <c r="L524" s="89">
        <f t="shared" si="36"/>
        <v>301024.29000000004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13403.54</v>
      </c>
      <c r="I526" s="18"/>
      <c r="J526" s="18"/>
      <c r="K526" s="18"/>
      <c r="L526" s="88">
        <f>SUM(F526:K526)</f>
        <v>13403.54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2507.9899999999998</v>
      </c>
      <c r="I528" s="18"/>
      <c r="J528" s="18"/>
      <c r="K528" s="18"/>
      <c r="L528" s="88">
        <f>SUM(F528:K528)</f>
        <v>2507.9899999999998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15911.53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15911.53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17627</v>
      </c>
      <c r="I531" s="18"/>
      <c r="J531" s="18"/>
      <c r="K531" s="18"/>
      <c r="L531" s="88">
        <f>SUM(F531:K531)</f>
        <v>17627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7919</v>
      </c>
      <c r="I533" s="18"/>
      <c r="J533" s="18"/>
      <c r="K533" s="18"/>
      <c r="L533" s="88">
        <f>SUM(F533:K533)</f>
        <v>7919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25546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25546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43077.87</v>
      </c>
      <c r="G545" s="89">
        <f t="shared" ref="G545:L545" si="41">G524+G529+G534+G539+G544</f>
        <v>26277.7</v>
      </c>
      <c r="H545" s="89">
        <f t="shared" si="41"/>
        <v>271928.8</v>
      </c>
      <c r="I545" s="89">
        <f t="shared" si="41"/>
        <v>806.66</v>
      </c>
      <c r="J545" s="89">
        <f t="shared" si="41"/>
        <v>385.79</v>
      </c>
      <c r="K545" s="89">
        <f t="shared" si="41"/>
        <v>5</v>
      </c>
      <c r="L545" s="89">
        <f t="shared" si="41"/>
        <v>342481.82000000007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236935.42</v>
      </c>
      <c r="G549" s="87">
        <f>L526</f>
        <v>13403.54</v>
      </c>
      <c r="H549" s="87">
        <f>L531</f>
        <v>17627</v>
      </c>
      <c r="I549" s="87">
        <f>L536</f>
        <v>0</v>
      </c>
      <c r="J549" s="87">
        <f>L541</f>
        <v>0</v>
      </c>
      <c r="K549" s="87">
        <f>SUM(F549:J549)</f>
        <v>267965.96000000002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64088.87</v>
      </c>
      <c r="G551" s="87">
        <f>L528</f>
        <v>2507.9899999999998</v>
      </c>
      <c r="H551" s="87">
        <f>L533</f>
        <v>7919</v>
      </c>
      <c r="I551" s="87">
        <f>L538</f>
        <v>0</v>
      </c>
      <c r="J551" s="87">
        <f>L543</f>
        <v>0</v>
      </c>
      <c r="K551" s="87">
        <f>SUM(F551:J551)</f>
        <v>74515.86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301024.29000000004</v>
      </c>
      <c r="G552" s="89">
        <f t="shared" si="42"/>
        <v>15911.53</v>
      </c>
      <c r="H552" s="89">
        <f t="shared" si="42"/>
        <v>25546</v>
      </c>
      <c r="I552" s="89">
        <f t="shared" si="42"/>
        <v>0</v>
      </c>
      <c r="J552" s="89">
        <f t="shared" si="42"/>
        <v>0</v>
      </c>
      <c r="K552" s="89">
        <f t="shared" si="42"/>
        <v>342481.82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90295</v>
      </c>
      <c r="I575" s="87">
        <f>SUM(F575:H575)</f>
        <v>90295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324911.07</v>
      </c>
      <c r="I576" s="87">
        <f t="shared" ref="I576:I587" si="47">SUM(F576:H576)</f>
        <v>324911.07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35591.47</v>
      </c>
      <c r="I580" s="87">
        <f t="shared" si="47"/>
        <v>35591.47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131359.12</v>
      </c>
      <c r="G582" s="18"/>
      <c r="H582" s="18">
        <v>28497.4</v>
      </c>
      <c r="I582" s="87">
        <f t="shared" si="47"/>
        <v>159856.51999999999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30446.94</v>
      </c>
      <c r="I585" s="87">
        <f t="shared" si="47"/>
        <v>30446.94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36573.440000000002</v>
      </c>
      <c r="I591" s="18"/>
      <c r="J591" s="18">
        <v>13527.16</v>
      </c>
      <c r="K591" s="104">
        <f t="shared" ref="K591:K597" si="48">SUM(H591:J591)</f>
        <v>50100.600000000006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778.6</v>
      </c>
      <c r="I595" s="18"/>
      <c r="J595" s="18"/>
      <c r="K595" s="104">
        <f t="shared" si="48"/>
        <v>778.6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37352.04</v>
      </c>
      <c r="I598" s="108">
        <f>SUM(I591:I597)</f>
        <v>0</v>
      </c>
      <c r="J598" s="108">
        <f>SUM(J591:J597)</f>
        <v>13527.16</v>
      </c>
      <c r="K598" s="108">
        <f>SUM(K591:K597)</f>
        <v>50879.200000000004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2121.16</v>
      </c>
      <c r="I604" s="18"/>
      <c r="J604" s="18"/>
      <c r="K604" s="104">
        <f>SUM(H604:J604)</f>
        <v>2121.16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2121.16</v>
      </c>
      <c r="I605" s="108">
        <f>SUM(I602:I604)</f>
        <v>0</v>
      </c>
      <c r="J605" s="108">
        <f>SUM(J602:J604)</f>
        <v>0</v>
      </c>
      <c r="K605" s="108">
        <f>SUM(K602:K604)</f>
        <v>2121.16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3460.2</v>
      </c>
      <c r="G611" s="18">
        <v>632.91</v>
      </c>
      <c r="H611" s="18"/>
      <c r="I611" s="18"/>
      <c r="J611" s="18"/>
      <c r="K611" s="18"/>
      <c r="L611" s="88">
        <f>SUM(F611:K611)</f>
        <v>4093.1099999999997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1213.54</v>
      </c>
      <c r="I613" s="18"/>
      <c r="J613" s="18"/>
      <c r="K613" s="18"/>
      <c r="L613" s="88">
        <f>SUM(F613:K613)</f>
        <v>1213.54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3460.2</v>
      </c>
      <c r="G614" s="108">
        <f t="shared" si="49"/>
        <v>632.91</v>
      </c>
      <c r="H614" s="108">
        <f t="shared" si="49"/>
        <v>1213.54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5306.65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265335.61</v>
      </c>
      <c r="H617" s="109">
        <f>SUM(F52)</f>
        <v>265335.61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1514.88</v>
      </c>
      <c r="H618" s="109">
        <f>SUM(G52)</f>
        <v>1514.88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8862.32</v>
      </c>
      <c r="H619" s="109">
        <f>SUM(H52)</f>
        <v>8862.32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249051.21000000002</v>
      </c>
      <c r="H621" s="109">
        <f>SUM(J52)</f>
        <v>249051.21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104113.75</v>
      </c>
      <c r="H622" s="109">
        <f>F476</f>
        <v>104113.75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249051.21</v>
      </c>
      <c r="H626" s="109">
        <f>J476</f>
        <v>249051.20999999996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2001364.8099999998</v>
      </c>
      <c r="H627" s="104">
        <f>SUM(F468)</f>
        <v>2001364.81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45764.95</v>
      </c>
      <c r="H628" s="104">
        <f>SUM(G468)</f>
        <v>45764.95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16021.7</v>
      </c>
      <c r="H629" s="104">
        <f>SUM(H468)</f>
        <v>16021.7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6813</v>
      </c>
      <c r="H631" s="104">
        <f>SUM(J468)</f>
        <v>6813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1888416.5500000003</v>
      </c>
      <c r="H632" s="104">
        <f>SUM(F472)</f>
        <v>1888416.55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16021.7</v>
      </c>
      <c r="H633" s="104">
        <f>SUM(H472)</f>
        <v>16021.7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532.09</v>
      </c>
      <c r="H634" s="104">
        <f>I369</f>
        <v>532.09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45764.95</v>
      </c>
      <c r="H635" s="104">
        <f>SUM(G472)</f>
        <v>45764.95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6813</v>
      </c>
      <c r="H637" s="164">
        <f>SUM(J468)</f>
        <v>6813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249051.21000000002</v>
      </c>
      <c r="H640" s="104">
        <f>SUM(G461)</f>
        <v>249051.21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249051.21000000002</v>
      </c>
      <c r="H642" s="104">
        <f>SUM(I461)</f>
        <v>249051.21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6813</v>
      </c>
      <c r="H645" s="104">
        <f>G408</f>
        <v>6813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6813</v>
      </c>
      <c r="H646" s="104">
        <f>L408</f>
        <v>6813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50879.200000000004</v>
      </c>
      <c r="H647" s="104">
        <f>L208+L226+L244</f>
        <v>50879.199999999997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2121.16</v>
      </c>
      <c r="H648" s="104">
        <f>(J257+J338)-(J255+J336)</f>
        <v>2121.16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37352.04</v>
      </c>
      <c r="H649" s="104">
        <f>H598</f>
        <v>37352.04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13527.16</v>
      </c>
      <c r="H651" s="104">
        <f>J598</f>
        <v>13527.16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24683.78</v>
      </c>
      <c r="H652" s="104">
        <f>K263+K345</f>
        <v>24683.78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6813</v>
      </c>
      <c r="H655" s="104">
        <f>K266+K347</f>
        <v>6813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1356142.3800000001</v>
      </c>
      <c r="G660" s="19">
        <f>(L229+L309+L359)</f>
        <v>0</v>
      </c>
      <c r="H660" s="19">
        <f>(L247+L328+L360)</f>
        <v>562564.04</v>
      </c>
      <c r="I660" s="19">
        <f>SUM(F660:H660)</f>
        <v>1918706.4200000002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12095.38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12095.38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37352.04</v>
      </c>
      <c r="G662" s="19">
        <f>(L226+L306)-(J226+J306)</f>
        <v>0</v>
      </c>
      <c r="H662" s="19">
        <f>(L244+L325)-(J244+J325)</f>
        <v>13527.16</v>
      </c>
      <c r="I662" s="19">
        <f>SUM(F662:H662)</f>
        <v>50879.199999999997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137573.38999999998</v>
      </c>
      <c r="G663" s="199">
        <f>SUM(G575:G587)+SUM(I602:I604)+L612</f>
        <v>0</v>
      </c>
      <c r="H663" s="199">
        <f>SUM(H575:H587)+SUM(J602:J604)+L613</f>
        <v>510955.42000000004</v>
      </c>
      <c r="I663" s="19">
        <f>SUM(F663:H663)</f>
        <v>648528.81000000006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1169121.57</v>
      </c>
      <c r="G664" s="19">
        <f>G660-SUM(G661:G663)</f>
        <v>0</v>
      </c>
      <c r="H664" s="19">
        <f>H660-SUM(H661:H663)</f>
        <v>38081.459999999963</v>
      </c>
      <c r="I664" s="19">
        <f>I660-SUM(I661:I663)</f>
        <v>1207203.0300000003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56.45</v>
      </c>
      <c r="G665" s="248"/>
      <c r="H665" s="248"/>
      <c r="I665" s="19">
        <f>SUM(F665:H665)</f>
        <v>56.45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20710.75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21385.35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-38081.46</v>
      </c>
      <c r="I669" s="19">
        <f>SUM(F669:H669)</f>
        <v>-38081.46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20710.75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20710.75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A22" sqref="A22"/>
    </sheetView>
  </sheetViews>
  <sheetFormatPr defaultRowHeight="11.25" x14ac:dyDescent="0.2"/>
  <cols>
    <col min="1" max="1" width="26.6640625" customWidth="1"/>
    <col min="2" max="2" width="33.66406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Piermont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336442.67</v>
      </c>
      <c r="C9" s="229">
        <f>'DOE25'!G197+'DOE25'!G215+'DOE25'!G233+'DOE25'!G276+'DOE25'!G295+'DOE25'!G314</f>
        <v>163970.37999999998</v>
      </c>
    </row>
    <row r="10" spans="1:3" x14ac:dyDescent="0.2">
      <c r="A10" t="s">
        <v>779</v>
      </c>
      <c r="B10" s="240">
        <v>310943.39</v>
      </c>
      <c r="C10" s="240">
        <f>+(B10/$B$13)*163970.38</f>
        <v>151542.92354411585</v>
      </c>
    </row>
    <row r="11" spans="1:3" x14ac:dyDescent="0.2">
      <c r="A11" t="s">
        <v>780</v>
      </c>
      <c r="B11" s="240">
        <v>21761.33</v>
      </c>
      <c r="C11" s="240">
        <f>+(B11/$B$13)*163970.38</f>
        <v>10605.710474849697</v>
      </c>
    </row>
    <row r="12" spans="1:3" x14ac:dyDescent="0.2">
      <c r="A12" t="s">
        <v>781</v>
      </c>
      <c r="B12" s="240">
        <v>3737.95</v>
      </c>
      <c r="C12" s="240">
        <f>+(B12/$B$13)*163970.38</f>
        <v>1821.7459810344506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336442.67000000004</v>
      </c>
      <c r="C13" s="231">
        <f>SUM(C10:C12)</f>
        <v>163970.38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43877.87</v>
      </c>
      <c r="C18" s="229">
        <f>'DOE25'!G198+'DOE25'!G216+'DOE25'!G234+'DOE25'!G277+'DOE25'!G296+'DOE25'!G315</f>
        <v>26482.45</v>
      </c>
    </row>
    <row r="19" spans="1:3" x14ac:dyDescent="0.2">
      <c r="A19" t="s">
        <v>779</v>
      </c>
      <c r="B19" s="240">
        <v>27950.27</v>
      </c>
      <c r="C19" s="240">
        <f>+(B19/$B$22)*(26277.7+204.75)</f>
        <v>16869.360973116971</v>
      </c>
    </row>
    <row r="20" spans="1:3" x14ac:dyDescent="0.2">
      <c r="A20" t="s">
        <v>780</v>
      </c>
      <c r="B20" s="240">
        <v>14516.95</v>
      </c>
      <c r="C20" s="240">
        <f>+(B20/$B$22)*(26277.7+204.75)</f>
        <v>8761.6924551601987</v>
      </c>
    </row>
    <row r="21" spans="1:3" x14ac:dyDescent="0.2">
      <c r="A21" t="s">
        <v>781</v>
      </c>
      <c r="B21" s="240">
        <f>610.65+800</f>
        <v>1410.65</v>
      </c>
      <c r="C21" s="240">
        <f>+(B21/$B$22)*(26277.7+204.75)</f>
        <v>851.39657172282989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43877.87</v>
      </c>
      <c r="C22" s="231">
        <f>SUM(C19:C21)</f>
        <v>26482.45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3460.2</v>
      </c>
      <c r="C36" s="235">
        <f>'DOE25'!G200+'DOE25'!G218+'DOE25'!G236+'DOE25'!G279+'DOE25'!G298+'DOE25'!G317</f>
        <v>766.18</v>
      </c>
    </row>
    <row r="37" spans="1:3" x14ac:dyDescent="0.2">
      <c r="A37" t="s">
        <v>779</v>
      </c>
      <c r="B37" s="240">
        <v>3046.02</v>
      </c>
      <c r="C37" s="240">
        <f>+(B37/$B$40)*766.18</f>
        <v>674.46956927345241</v>
      </c>
    </row>
    <row r="38" spans="1:3" x14ac:dyDescent="0.2">
      <c r="A38" t="s">
        <v>780</v>
      </c>
      <c r="B38" s="240">
        <v>414.18</v>
      </c>
      <c r="C38" s="240">
        <f>+(B38/$B$40)*766.18</f>
        <v>91.7104307265476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3460.2</v>
      </c>
      <c r="C40" s="231">
        <f>SUM(C37:C39)</f>
        <v>766.18000000000006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C24" sqref="C24"/>
    </sheetView>
  </sheetViews>
  <sheetFormatPr defaultRowHeight="11.25" x14ac:dyDescent="0.2"/>
  <cols>
    <col min="1" max="1" width="10.6640625" customWidth="1"/>
    <col min="2" max="2" width="41.1640625" customWidth="1"/>
    <col min="3" max="3" width="13.5" bestFit="1" customWidth="1"/>
    <col min="4" max="5" width="17.6640625" customWidth="1"/>
    <col min="6" max="6" width="22.5" bestFit="1" customWidth="1"/>
    <col min="7" max="8" width="17.66406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Piermont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1291122.3800000001</v>
      </c>
      <c r="D5" s="20">
        <f>SUM('DOE25'!L197:L200)+SUM('DOE25'!L215:L218)+SUM('DOE25'!L233:L236)-F5-G5</f>
        <v>1286678.4100000001</v>
      </c>
      <c r="E5" s="243"/>
      <c r="F5" s="255">
        <f>SUM('DOE25'!J197:J200)+SUM('DOE25'!J215:J218)+SUM('DOE25'!J233:J236)</f>
        <v>1359.21</v>
      </c>
      <c r="G5" s="53">
        <f>SUM('DOE25'!K197:K200)+SUM('DOE25'!K215:K218)+SUM('DOE25'!K233:K236)</f>
        <v>3084.76</v>
      </c>
      <c r="H5" s="259"/>
    </row>
    <row r="6" spans="1:9" x14ac:dyDescent="0.2">
      <c r="A6" s="32">
        <v>2100</v>
      </c>
      <c r="B6" t="s">
        <v>801</v>
      </c>
      <c r="C6" s="245">
        <f t="shared" si="0"/>
        <v>51444.869999999995</v>
      </c>
      <c r="D6" s="20">
        <f>'DOE25'!L202+'DOE25'!L220+'DOE25'!L238-F6-G6</f>
        <v>48909.42</v>
      </c>
      <c r="E6" s="243"/>
      <c r="F6" s="255">
        <f>'DOE25'!J202+'DOE25'!J220+'DOE25'!J238</f>
        <v>0</v>
      </c>
      <c r="G6" s="53">
        <f>'DOE25'!K202+'DOE25'!K220+'DOE25'!K238</f>
        <v>2535.4499999999998</v>
      </c>
      <c r="H6" s="259"/>
    </row>
    <row r="7" spans="1:9" x14ac:dyDescent="0.2">
      <c r="A7" s="32">
        <v>2200</v>
      </c>
      <c r="B7" t="s">
        <v>834</v>
      </c>
      <c r="C7" s="245">
        <f t="shared" si="0"/>
        <v>98927.360000000001</v>
      </c>
      <c r="D7" s="20">
        <f>'DOE25'!L203+'DOE25'!L221+'DOE25'!L239-F7-G7</f>
        <v>98927.360000000001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103354.62</v>
      </c>
      <c r="D8" s="243"/>
      <c r="E8" s="20">
        <f>'DOE25'!L204+'DOE25'!L222+'DOE25'!L240-F8-G8-D9-D11</f>
        <v>100989.48999999999</v>
      </c>
      <c r="F8" s="255">
        <f>'DOE25'!J204+'DOE25'!J222+'DOE25'!J240</f>
        <v>0</v>
      </c>
      <c r="G8" s="53">
        <f>'DOE25'!K204+'DOE25'!K222+'DOE25'!K240</f>
        <v>2365.13</v>
      </c>
      <c r="H8" s="259"/>
    </row>
    <row r="9" spans="1:9" x14ac:dyDescent="0.2">
      <c r="A9" s="32">
        <v>2310</v>
      </c>
      <c r="B9" t="s">
        <v>818</v>
      </c>
      <c r="C9" s="245">
        <f t="shared" si="0"/>
        <v>6772.88</v>
      </c>
      <c r="D9" s="244">
        <v>6772.88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7000</v>
      </c>
      <c r="D10" s="243"/>
      <c r="E10" s="244">
        <v>7000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23399.43</v>
      </c>
      <c r="D11" s="244">
        <v>23399.43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112945.43</v>
      </c>
      <c r="D12" s="20">
        <f>'DOE25'!L205+'DOE25'!L223+'DOE25'!L241-F12-G12</f>
        <v>111862.64</v>
      </c>
      <c r="E12" s="243"/>
      <c r="F12" s="255">
        <f>'DOE25'!J205+'DOE25'!J223+'DOE25'!J241</f>
        <v>0</v>
      </c>
      <c r="G12" s="53">
        <f>'DOE25'!K205+'DOE25'!K223+'DOE25'!K241</f>
        <v>1082.79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114267.26</v>
      </c>
      <c r="D14" s="20">
        <f>'DOE25'!L207+'DOE25'!L225+'DOE25'!L243-F14-G14</f>
        <v>113963.31</v>
      </c>
      <c r="E14" s="243"/>
      <c r="F14" s="255">
        <f>'DOE25'!J207+'DOE25'!J225+'DOE25'!J243</f>
        <v>303.95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50879.199999999997</v>
      </c>
      <c r="D15" s="20">
        <f>'DOE25'!L208+'DOE25'!L226+'DOE25'!L244-F15-G15</f>
        <v>50879.199999999997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3806.34</v>
      </c>
      <c r="D16" s="243"/>
      <c r="E16" s="20">
        <f>'DOE25'!L209+'DOE25'!L227+'DOE25'!L245-F16-G16</f>
        <v>3116.62</v>
      </c>
      <c r="F16" s="255">
        <f>'DOE25'!J209+'DOE25'!J227+'DOE25'!J245</f>
        <v>0</v>
      </c>
      <c r="G16" s="53">
        <f>'DOE25'!K209+'DOE25'!K227+'DOE25'!K245</f>
        <v>689.72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45764.95</v>
      </c>
      <c r="D29" s="20">
        <f>'DOE25'!L358+'DOE25'!L359+'DOE25'!L360-'DOE25'!I367-F29-G29</f>
        <v>45764.95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16021.7</v>
      </c>
      <c r="D31" s="20">
        <f>'DOE25'!L290+'DOE25'!L309+'DOE25'!L328+'DOE25'!L333+'DOE25'!L334+'DOE25'!L335-F31-G31</f>
        <v>15220.7</v>
      </c>
      <c r="E31" s="243"/>
      <c r="F31" s="255">
        <f>'DOE25'!J290+'DOE25'!J309+'DOE25'!J328+'DOE25'!J333+'DOE25'!J334+'DOE25'!J335</f>
        <v>458</v>
      </c>
      <c r="G31" s="53">
        <f>'DOE25'!K290+'DOE25'!K309+'DOE25'!K328+'DOE25'!K333+'DOE25'!K334+'DOE25'!K335</f>
        <v>343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1802378.2999999998</v>
      </c>
      <c r="E33" s="246">
        <f>SUM(E5:E31)</f>
        <v>111106.10999999999</v>
      </c>
      <c r="F33" s="246">
        <f>SUM(F5:F31)</f>
        <v>2121.16</v>
      </c>
      <c r="G33" s="246">
        <f>SUM(G5:G31)</f>
        <v>10100.85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111106.10999999999</v>
      </c>
      <c r="E35" s="249"/>
    </row>
    <row r="36" spans="2:8" ht="12" thickTop="1" x14ac:dyDescent="0.2">
      <c r="B36" t="s">
        <v>815</v>
      </c>
      <c r="D36" s="20">
        <f>D33</f>
        <v>1802378.2999999998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Normal="100" workbookViewId="0">
      <pane ySplit="2" topLeftCell="A135" activePane="bottomLeft" state="frozen"/>
      <selection activeCell="F46" sqref="F46"/>
      <selection pane="bottomLeft" activeCell="C138" sqref="C138"/>
    </sheetView>
  </sheetViews>
  <sheetFormatPr defaultRowHeight="11.25" x14ac:dyDescent="0.2"/>
  <cols>
    <col min="1" max="1" width="52.6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Piermont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242365.84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220275.13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28776.080000000002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20238.77</v>
      </c>
      <c r="D12" s="95">
        <f>'DOE25'!G13</f>
        <v>1149.73</v>
      </c>
      <c r="E12" s="95">
        <f>'DOE25'!H13</f>
        <v>8862.32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1800</v>
      </c>
      <c r="D13" s="95">
        <f>'DOE25'!G14</f>
        <v>365.15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931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265335.61</v>
      </c>
      <c r="D18" s="41">
        <f>SUM(D8:D17)</f>
        <v>1514.88</v>
      </c>
      <c r="E18" s="41">
        <f>SUM(E8:E17)</f>
        <v>8862.32</v>
      </c>
      <c r="F18" s="41">
        <f>SUM(F8:F17)</f>
        <v>0</v>
      </c>
      <c r="G18" s="41">
        <f>SUM(G8:G17)</f>
        <v>249051.21000000002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19980.309999999998</v>
      </c>
      <c r="D21" s="95">
        <f>'DOE25'!G22</f>
        <v>1514.88</v>
      </c>
      <c r="E21" s="95">
        <f>'DOE25'!H22</f>
        <v>7280.89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118054.91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23186.639999999999</v>
      </c>
      <c r="D28" s="95">
        <f>'DOE25'!G29</f>
        <v>0</v>
      </c>
      <c r="E28" s="95">
        <f>'DOE25'!H29</f>
        <v>1581.43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161221.85999999999</v>
      </c>
      <c r="D31" s="41">
        <f>SUM(D21:D30)</f>
        <v>1514.88</v>
      </c>
      <c r="E31" s="41">
        <f>SUM(E21:E30)</f>
        <v>8862.32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22000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38387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249051.21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43726.750000000007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104113.75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249051.21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265335.61</v>
      </c>
      <c r="D51" s="41">
        <f>D50+D31</f>
        <v>1514.88</v>
      </c>
      <c r="E51" s="41">
        <f>E50+E31</f>
        <v>8862.32</v>
      </c>
      <c r="F51" s="41">
        <f>F50+F31</f>
        <v>0</v>
      </c>
      <c r="G51" s="41">
        <f>G50+G31</f>
        <v>249051.21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1325181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12095.38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552.70000000000005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552.70000000000005</v>
      </c>
      <c r="D62" s="130">
        <f>SUM(D57:D61)</f>
        <v>12095.38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1325733.7</v>
      </c>
      <c r="D63" s="22">
        <f>D56+D62</f>
        <v>12095.38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295396.87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210307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505703.87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118618.05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22028.519999999997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360.57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140646.57</v>
      </c>
      <c r="D78" s="130">
        <f>SUM(D72:D77)</f>
        <v>360.57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646350.43999999994</v>
      </c>
      <c r="D81" s="130">
        <f>SUM(D79:D80)+D78+D70</f>
        <v>360.57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27814.93</v>
      </c>
      <c r="D88" s="95">
        <f>SUM('DOE25'!G153:G161)</f>
        <v>8625.2199999999993</v>
      </c>
      <c r="E88" s="95">
        <f>SUM('DOE25'!H153:H161)</f>
        <v>16021.7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1465.74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29280.670000000002</v>
      </c>
      <c r="D91" s="131">
        <f>SUM(D85:D90)</f>
        <v>8625.2199999999993</v>
      </c>
      <c r="E91" s="131">
        <f>SUM(E85:E90)</f>
        <v>16021.7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24683.78</v>
      </c>
      <c r="E96" s="95">
        <f>'DOE25'!H179</f>
        <v>0</v>
      </c>
      <c r="F96" s="95">
        <f>'DOE25'!I179</f>
        <v>0</v>
      </c>
      <c r="G96" s="95">
        <f>'DOE25'!J179</f>
        <v>6813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24683.78</v>
      </c>
      <c r="E103" s="86">
        <f>SUM(E93:E102)</f>
        <v>0</v>
      </c>
      <c r="F103" s="86">
        <f>SUM(F93:F102)</f>
        <v>0</v>
      </c>
      <c r="G103" s="86">
        <f>SUM(G93:G102)</f>
        <v>6813</v>
      </c>
    </row>
    <row r="104" spans="1:7" ht="12.75" thickTop="1" thickBot="1" x14ac:dyDescent="0.25">
      <c r="A104" s="33" t="s">
        <v>765</v>
      </c>
      <c r="C104" s="86">
        <f>C63+C81+C91+C103</f>
        <v>2001364.8099999998</v>
      </c>
      <c r="D104" s="86">
        <f>D63+D81+D91+D103</f>
        <v>45764.95</v>
      </c>
      <c r="E104" s="86">
        <f>E63+E81+E91+E103</f>
        <v>16021.7</v>
      </c>
      <c r="F104" s="86">
        <f>F63+F81+F91+F103</f>
        <v>0</v>
      </c>
      <c r="G104" s="86">
        <f>G63+G81+G103</f>
        <v>6813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949705.52</v>
      </c>
      <c r="D109" s="24" t="s">
        <v>289</v>
      </c>
      <c r="E109" s="95">
        <f>('DOE25'!L276)+('DOE25'!L295)+('DOE25'!L314)</f>
        <v>15678.7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302522.85000000003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30446.94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8447.07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1291122.3800000001</v>
      </c>
      <c r="D115" s="86">
        <f>SUM(D109:D114)</f>
        <v>0</v>
      </c>
      <c r="E115" s="86">
        <f>SUM(E109:E114)</f>
        <v>15678.7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51444.869999999995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98927.360000000001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133526.93</v>
      </c>
      <c r="D120" s="24" t="s">
        <v>289</v>
      </c>
      <c r="E120" s="95">
        <f>+('DOE25'!L283)+('DOE25'!L302)+('DOE25'!L321)</f>
        <v>343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112945.43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114267.26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50879.199999999997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3806.34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45764.95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565797.3899999999</v>
      </c>
      <c r="D128" s="86">
        <f>SUM(D118:D127)</f>
        <v>45764.95</v>
      </c>
      <c r="E128" s="86">
        <f>SUM(E118:E127)</f>
        <v>343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24683.78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6813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31496.78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1888416.55</v>
      </c>
      <c r="D145" s="86">
        <f>(D115+D128+D144)</f>
        <v>45764.95</v>
      </c>
      <c r="E145" s="86">
        <f>(E115+E128+E144)</f>
        <v>16021.7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Piermont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20711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20711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965384</v>
      </c>
      <c r="D10" s="182">
        <f>ROUND((C10/$C$28)*100,1)</f>
        <v>50.6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302523</v>
      </c>
      <c r="D11" s="182">
        <f>ROUND((C11/$C$28)*100,1)</f>
        <v>15.9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30447</v>
      </c>
      <c r="D12" s="182">
        <f>ROUND((C12/$C$28)*100,1)</f>
        <v>1.6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8447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51445</v>
      </c>
      <c r="D15" s="182">
        <f t="shared" ref="D15:D27" si="0">ROUND((C15/$C$28)*100,1)</f>
        <v>2.7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98927</v>
      </c>
      <c r="D16" s="182">
        <f t="shared" si="0"/>
        <v>5.2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137676</v>
      </c>
      <c r="D17" s="182">
        <f t="shared" si="0"/>
        <v>7.2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112945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114267</v>
      </c>
      <c r="D20" s="182">
        <f t="shared" si="0"/>
        <v>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50879</v>
      </c>
      <c r="D21" s="182">
        <f t="shared" si="0"/>
        <v>2.7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33669.620000000003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1906609.62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1906609.62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1325181</v>
      </c>
      <c r="D35" s="182">
        <f t="shared" ref="D35:D40" si="1">ROUND((C35/$C$41)*100,1)</f>
        <v>65.400000000000006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552.69999999995343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505704</v>
      </c>
      <c r="D37" s="182">
        <f t="shared" si="1"/>
        <v>25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141007</v>
      </c>
      <c r="D38" s="182">
        <f t="shared" si="1"/>
        <v>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53928</v>
      </c>
      <c r="D39" s="182">
        <f t="shared" si="1"/>
        <v>2.7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2026372.7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Piermont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2016-11-30T13:55:33Z</cp:lastPrinted>
  <dcterms:created xsi:type="dcterms:W3CDTF">1997-12-04T19:04:30Z</dcterms:created>
  <dcterms:modified xsi:type="dcterms:W3CDTF">2016-12-08T17:59:54Z</dcterms:modified>
</cp:coreProperties>
</file>