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B21" i="12"/>
  <c r="B19" i="12"/>
  <c r="C10" i="12"/>
  <c r="B10" i="12"/>
  <c r="F12" i="1" l="1"/>
  <c r="H528" i="1"/>
  <c r="H526" i="1"/>
  <c r="F472" i="1"/>
  <c r="F468" i="1"/>
  <c r="G282" i="1"/>
  <c r="G276" i="1"/>
  <c r="K263" i="1"/>
  <c r="H255" i="1"/>
  <c r="I238" i="1"/>
  <c r="H244" i="1"/>
  <c r="H243" i="1"/>
  <c r="H241" i="1"/>
  <c r="H240" i="1"/>
  <c r="H239" i="1"/>
  <c r="K239" i="1"/>
  <c r="H238" i="1"/>
  <c r="H236" i="1"/>
  <c r="J233" i="1"/>
  <c r="H233" i="1"/>
  <c r="H202" i="1"/>
  <c r="H208" i="1"/>
  <c r="H207" i="1"/>
  <c r="H205" i="1"/>
  <c r="H204" i="1"/>
  <c r="K203" i="1"/>
  <c r="H203" i="1"/>
  <c r="H200" i="1"/>
  <c r="H197" i="1"/>
  <c r="H472" i="1"/>
  <c r="H468" i="1"/>
  <c r="H155" i="1"/>
  <c r="F110" i="1"/>
  <c r="G469" i="1"/>
  <c r="G473" i="1"/>
  <c r="G40" i="1"/>
  <c r="H360" i="1" l="1"/>
  <c r="H358" i="1"/>
  <c r="G459" i="1"/>
  <c r="J468" i="1"/>
  <c r="H400" i="1"/>
  <c r="H396" i="1"/>
  <c r="F50" i="1"/>
  <c r="H22" i="1"/>
  <c r="H28" i="1"/>
  <c r="G24" i="1"/>
  <c r="F29" i="1"/>
  <c r="F665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D6" i="13" s="1"/>
  <c r="C6" i="13" s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20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G650" i="1"/>
  <c r="G652" i="1"/>
  <c r="H652" i="1"/>
  <c r="G653" i="1"/>
  <c r="H653" i="1"/>
  <c r="G654" i="1"/>
  <c r="H654" i="1"/>
  <c r="H655" i="1"/>
  <c r="J655" i="1" s="1"/>
  <c r="F192" i="1"/>
  <c r="G164" i="2"/>
  <c r="C18" i="2"/>
  <c r="C26" i="10"/>
  <c r="L328" i="1"/>
  <c r="L351" i="1"/>
  <c r="L290" i="1"/>
  <c r="A31" i="12"/>
  <c r="C70" i="2"/>
  <c r="A40" i="12"/>
  <c r="D62" i="2"/>
  <c r="D63" i="2" s="1"/>
  <c r="D18" i="13"/>
  <c r="C18" i="13" s="1"/>
  <c r="D7" i="13"/>
  <c r="C7" i="13" s="1"/>
  <c r="D18" i="2"/>
  <c r="D17" i="13"/>
  <c r="C17" i="13" s="1"/>
  <c r="C91" i="2"/>
  <c r="F78" i="2"/>
  <c r="F81" i="2" s="1"/>
  <c r="D31" i="2"/>
  <c r="C78" i="2"/>
  <c r="G157" i="2"/>
  <c r="F18" i="2"/>
  <c r="G161" i="2"/>
  <c r="G156" i="2"/>
  <c r="E103" i="2"/>
  <c r="D91" i="2"/>
  <c r="G62" i="2"/>
  <c r="D19" i="13"/>
  <c r="C19" i="13" s="1"/>
  <c r="D14" i="13"/>
  <c r="C14" i="13" s="1"/>
  <c r="E13" i="13"/>
  <c r="C13" i="13" s="1"/>
  <c r="E78" i="2"/>
  <c r="E81" i="2" s="1"/>
  <c r="H112" i="1"/>
  <c r="J641" i="1"/>
  <c r="J639" i="1"/>
  <c r="K605" i="1"/>
  <c r="G648" i="1" s="1"/>
  <c r="J571" i="1"/>
  <c r="K571" i="1"/>
  <c r="L433" i="1"/>
  <c r="L419" i="1"/>
  <c r="D81" i="2"/>
  <c r="I169" i="1"/>
  <c r="J643" i="1"/>
  <c r="I476" i="1"/>
  <c r="H625" i="1" s="1"/>
  <c r="J625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F22" i="13"/>
  <c r="C22" i="13" s="1"/>
  <c r="H25" i="13"/>
  <c r="C25" i="13" s="1"/>
  <c r="H571" i="1"/>
  <c r="L560" i="1"/>
  <c r="J545" i="1"/>
  <c r="G192" i="1"/>
  <c r="H192" i="1"/>
  <c r="F552" i="1"/>
  <c r="C35" i="10"/>
  <c r="L309" i="1"/>
  <c r="D5" i="13"/>
  <c r="C5" i="13" s="1"/>
  <c r="E16" i="13"/>
  <c r="L570" i="1"/>
  <c r="I571" i="1"/>
  <c r="I545" i="1"/>
  <c r="J636" i="1"/>
  <c r="G36" i="2"/>
  <c r="L565" i="1"/>
  <c r="H545" i="1"/>
  <c r="C138" i="2"/>
  <c r="C16" i="13"/>
  <c r="H33" i="13"/>
  <c r="L427" i="1" l="1"/>
  <c r="L434" i="1" s="1"/>
  <c r="G638" i="1" s="1"/>
  <c r="J638" i="1" s="1"/>
  <c r="A13" i="12"/>
  <c r="K598" i="1"/>
  <c r="G647" i="1" s="1"/>
  <c r="G545" i="1"/>
  <c r="G552" i="1"/>
  <c r="F476" i="1"/>
  <c r="H622" i="1" s="1"/>
  <c r="J622" i="1" s="1"/>
  <c r="G338" i="1"/>
  <c r="G352" i="1" s="1"/>
  <c r="E119" i="2"/>
  <c r="E128" i="2" s="1"/>
  <c r="E145" i="2" s="1"/>
  <c r="F338" i="1"/>
  <c r="F352" i="1" s="1"/>
  <c r="C124" i="2"/>
  <c r="G651" i="1"/>
  <c r="J651" i="1" s="1"/>
  <c r="C20" i="10"/>
  <c r="C18" i="10"/>
  <c r="C120" i="2"/>
  <c r="C17" i="10"/>
  <c r="C16" i="10"/>
  <c r="C15" i="10"/>
  <c r="L247" i="1"/>
  <c r="H660" i="1" s="1"/>
  <c r="C13" i="10"/>
  <c r="C11" i="10"/>
  <c r="K257" i="1"/>
  <c r="K271" i="1" s="1"/>
  <c r="I257" i="1"/>
  <c r="I271" i="1" s="1"/>
  <c r="G257" i="1"/>
  <c r="G271" i="1" s="1"/>
  <c r="C10" i="10"/>
  <c r="F257" i="1"/>
  <c r="F271" i="1" s="1"/>
  <c r="H257" i="1"/>
  <c r="H271" i="1" s="1"/>
  <c r="C21" i="10"/>
  <c r="D15" i="13"/>
  <c r="C15" i="13" s="1"/>
  <c r="G649" i="1"/>
  <c r="J649" i="1" s="1"/>
  <c r="F662" i="1"/>
  <c r="I662" i="1" s="1"/>
  <c r="H647" i="1"/>
  <c r="C121" i="2"/>
  <c r="E33" i="13"/>
  <c r="D35" i="13" s="1"/>
  <c r="C119" i="2"/>
  <c r="C118" i="2"/>
  <c r="L211" i="1"/>
  <c r="C109" i="2"/>
  <c r="C115" i="2" s="1"/>
  <c r="H476" i="1"/>
  <c r="H624" i="1" s="1"/>
  <c r="J624" i="1" s="1"/>
  <c r="D50" i="2"/>
  <c r="G476" i="1"/>
  <c r="H623" i="1" s="1"/>
  <c r="J623" i="1" s="1"/>
  <c r="J634" i="1"/>
  <c r="F661" i="1"/>
  <c r="D29" i="13"/>
  <c r="C29" i="13" s="1"/>
  <c r="D127" i="2"/>
  <c r="D128" i="2" s="1"/>
  <c r="H661" i="1"/>
  <c r="D145" i="2"/>
  <c r="L362" i="1"/>
  <c r="C27" i="10" s="1"/>
  <c r="I461" i="1"/>
  <c r="H642" i="1" s="1"/>
  <c r="C81" i="2"/>
  <c r="C62" i="2"/>
  <c r="C63" i="2" s="1"/>
  <c r="J476" i="1"/>
  <c r="H626" i="1" s="1"/>
  <c r="J640" i="1"/>
  <c r="E31" i="2"/>
  <c r="H52" i="1"/>
  <c r="H619" i="1" s="1"/>
  <c r="J617" i="1"/>
  <c r="K552" i="1"/>
  <c r="L529" i="1"/>
  <c r="L54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H648" i="1"/>
  <c r="J648" i="1" s="1"/>
  <c r="J652" i="1"/>
  <c r="J642" i="1"/>
  <c r="G571" i="1"/>
  <c r="I434" i="1"/>
  <c r="G434" i="1"/>
  <c r="E104" i="2"/>
  <c r="I663" i="1"/>
  <c r="J647" i="1" l="1"/>
  <c r="L257" i="1"/>
  <c r="L271" i="1" s="1"/>
  <c r="G632" i="1" s="1"/>
  <c r="J632" i="1" s="1"/>
  <c r="H664" i="1"/>
  <c r="H667" i="1" s="1"/>
  <c r="C28" i="10"/>
  <c r="D25" i="10" s="1"/>
  <c r="C128" i="2"/>
  <c r="C145" i="2" s="1"/>
  <c r="F660" i="1"/>
  <c r="I660" i="1" s="1"/>
  <c r="I664" i="1" s="1"/>
  <c r="I672" i="1" s="1"/>
  <c r="C7" i="10" s="1"/>
  <c r="I661" i="1"/>
  <c r="G635" i="1"/>
  <c r="J635" i="1" s="1"/>
  <c r="G672" i="1"/>
  <c r="C5" i="10" s="1"/>
  <c r="G51" i="2"/>
  <c r="C104" i="2"/>
  <c r="H646" i="1"/>
  <c r="J646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23" i="10"/>
  <c r="D21" i="10"/>
  <c r="D18" i="10"/>
  <c r="D16" i="10"/>
  <c r="D10" i="10"/>
  <c r="D13" i="10"/>
  <c r="D15" i="10"/>
  <c r="D12" i="10"/>
  <c r="D26" i="10"/>
  <c r="D19" i="10"/>
  <c r="D11" i="10"/>
  <c r="D22" i="10"/>
  <c r="D27" i="10"/>
  <c r="D17" i="10"/>
  <c r="D24" i="10"/>
  <c r="C30" i="10"/>
  <c r="D20" i="10"/>
  <c r="F664" i="1"/>
  <c r="F672" i="1" s="1"/>
  <c r="C4" i="10" s="1"/>
  <c r="I667" i="1"/>
  <c r="H656" i="1"/>
  <c r="C41" i="10"/>
  <c r="D38" i="10" s="1"/>
  <c r="D28" i="10" l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<sst xmlns="http://schemas.openxmlformats.org/spreadsheetml/2006/main" count="3961" uniqueCount="918">
  <si>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</si>
  <si>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</si>
  <si>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</si>
  <si>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</si>
  <si>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</si>
  <si>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</si>
  <si>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</si>
  <si>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</si>
  <si>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</si>
  <si>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</si>
  <si>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</si>
  <si>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</si>
  <si>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</si>
  <si>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</si>
  <si>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</si>
  <si>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</si>
  <si>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</si>
  <si>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</si>
  <si>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</si>
  <si>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</si>
  <si>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</si>
  <si>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</si>
  <si>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</si>
  <si>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</si>
  <si>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</si>
  <si>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</si>
  <si>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</si>
  <si>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</si>
  <si>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</si>
  <si>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</si>
  <si>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</si>
  <si>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</si>
  <si>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</si>
  <si>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</si>
  <si>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</si>
  <si>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</si>
  <si>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</si>
  <si>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</si>
  <si>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</si>
  <si>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</si>
  <si>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</si>
  <si>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</si>
  <si>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</si>
  <si>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</si>
  <si>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</si>
  <si>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</si>
  <si>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</si>
  <si>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</si>
  <si>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</si>
  <si>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</si>
  <si>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</si>
  <si>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</si>
  <si>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</si>
  <si>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</si>
  <si>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</si>
  <si>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</si>
  <si>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</si>
  <si>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</si>
  <si>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</si>
  <si>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</si>
  <si>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</si>
  <si>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</si>
  <si>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</si>
  <si>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</si>
  <si>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</si>
  <si>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</si>
  <si>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</si>
  <si>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</si>
  <si>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</si>
  <si>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</si>
  <si>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</si>
  <si>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</si>
  <si>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</si>
  <si>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</si>
  <si>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</si>
  <si>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</si>
  <si>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</si>
  <si>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</si>
  <si>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</si>
  <si>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</si>
  <si>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</si>
  <si>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</si>
  <si>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</si>
  <si>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</si>
  <si>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</si>
  <si>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</si>
  <si>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</si>
  <si>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</si>
  <si>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</si>
  <si>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</si>
  <si>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</si>
  <si>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</si>
  <si>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</si>
  <si>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</si>
  <si>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</si>
  <si>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</si>
  <si>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</si>
  <si>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</si>
  <si>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</si>
  <si>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</si>
  <si>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</si>
  <si>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</si>
  <si>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</si>
  <si>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</si>
  <si>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</si>
  <si>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</si>
  <si>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</si>
  <si>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</si>
  <si>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</si>
  <si>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</si>
  <si>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</si>
  <si>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</si>
  <si>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</si>
  <si>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</si>
  <si>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</si>
  <si>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</si>
  <si>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</si>
  <si>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</si>
  <si>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</si>
  <si>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</si>
  <si>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</si>
  <si>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</si>
  <si>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</si>
  <si>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</si>
  <si>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</si>
  <si>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</si>
  <si>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</si>
  <si>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</si>
  <si>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</si>
  <si>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</si>
  <si>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</si>
  <si>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</si>
  <si>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</si>
  <si>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</si>
  <si>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</si>
  <si>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</si>
  <si>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</si>
  <si>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</si>
  <si>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</si>
  <si>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</si>
  <si>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</si>
  <si>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</si>
  <si>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</si>
  <si>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</si>
  <si>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</si>
  <si>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</si>
  <si>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</si>
  <si>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</si>
  <si>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</si>
  <si>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</si>
  <si>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</si>
  <si>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</si>
  <si>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</si>
  <si>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</si>
  <si>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</si>
  <si>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</si>
  <si>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</si>
  <si>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</si>
  <si>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</si>
  <si>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</si>
  <si>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</si>
  <si>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</si>
  <si>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</si>
  <si>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</si>
  <si>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</si>
  <si>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</si>
  <si>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</si>
  <si>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</si>
  <si>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</si>
  <si>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</si>
  <si>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</si>
  <si>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</si>
  <si>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</si>
  <si>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</si>
  <si>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</si>
  <si>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</si>
  <si>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</si>
  <si>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</si>
  <si>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</si>
  <si>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</si>
  <si>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</si>
  <si>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</si>
  <si>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</si>
  <si>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</si>
  <si>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</si>
  <si>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</si>
  <si>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</si>
  <si>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</si>
  <si>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</si>
  <si>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</si>
  <si>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</si>
  <si>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</si>
  <si>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</si>
  <si>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</si>
  <si>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</si>
  <si>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</si>
  <si>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</si>
  <si>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</si>
  <si>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</si>
  <si>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</si>
  <si>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</si>
  <si>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</si>
  <si>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</si>
  <si>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</si>
  <si>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</si>
  <si>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</si>
  <si>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</si>
  <si>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</si>
  <si>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</si>
  <si>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</si>
  <si>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</si>
  <si>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</si>
  <si>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</si>
  <si>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</si>
  <si>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</si>
  <si>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</si>
  <si>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</si>
  <si>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</si>
  <si>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</si>
  <si>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</si>
  <si>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</si>
  <si>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</si>
  <si>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</si>
  <si>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</si>
  <si>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</si>
  <si>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</si>
  <si>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</si>
  <si>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</si>
  <si>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</si>
  <si>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</si>
  <si>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</si>
  <si>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</si>
  <si>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</si>
  <si>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</si>
  <si>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</si>
  <si>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</si>
  <si>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</si>
  <si>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</si>
  <si>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</si>
  <si>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</si>
  <si>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</si>
  <si>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</si>
  <si>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</si>
  <si>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</si>
  <si>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</si>
  <si>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</si>
  <si>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</si>
  <si>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</si>
  <si>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</si>
  <si>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</si>
  <si>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</si>
  <si>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</si>
  <si>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</si>
  <si>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</si>
  <si>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</si>
  <si>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</si>
  <si>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</si>
  <si>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</si>
  <si>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</si>
  <si>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</si>
  <si>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</si>
  <si>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</si>
  <si>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</si>
  <si>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</si>
  <si>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</si>
  <si>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</si>
  <si>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</si>
  <si>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</si>
  <si>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</si>
  <si>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</si>
  <si>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</si>
  <si>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</si>
  <si>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</si>
  <si>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</si>
  <si>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</si>
  <si>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</si>
  <si>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</si>
  <si>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</si>
  <si>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</si>
  <si>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</si>
  <si>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</si>
  <si>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</si>
  <si>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</si>
  <si>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</si>
  <si>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</si>
  <si>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</si>
  <si>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</si>
  <si>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</si>
  <si>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</si>
  <si>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</si>
  <si>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</si>
  <si>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</si>
  <si>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</si>
  <si>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</si>
  <si>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</si>
  <si>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</si>
  <si>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</si>
  <si>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</si>
  <si>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</si>
  <si>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</si>
  <si>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</si>
  <si>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</si>
  <si>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</si>
  <si>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</si>
  <si>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</si>
  <si>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</si>
  <si>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</si>
  <si>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</si>
  <si>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</si>
  <si>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</si>
  <si>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</si>
  <si>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</si>
  <si>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</si>
  <si>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</si>
  <si>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</si>
  <si>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</si>
  <si>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</si>
  <si>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</si>
  <si>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</si>
  <si>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</si>
  <si>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</si>
  <si>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</si>
  <si>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</si>
  <si>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</si>
  <si>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</si>
  <si>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</si>
  <si>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</si>
  <si>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</si>
  <si>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</si>
  <si>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</si>
  <si>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</si>
  <si>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</si>
  <si>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</si>
  <si>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</si>
  <si>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</si>
  <si>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</si>
  <si>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</si>
  <si>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</si>
  <si>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</si>
  <si>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</si>
  <si>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</si>
  <si>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</si>
  <si>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</si>
  <si>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</si>
  <si>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</si>
  <si>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</si>
  <si>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</si>
  <si>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</si>
  <si>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</si>
  <si>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</si>
  <si>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</si>
  <si>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</si>
  <si>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</si>
  <si>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</si>
  <si>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</si>
  <si>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</si>
  <si>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</si>
  <si>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</si>
  <si>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</si>
  <si>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</si>
  <si>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</si>
  <si>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</si>
  <si>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</si>
  <si>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</si>
  <si>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</si>
  <si>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</si>
  <si>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</si>
  <si>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</si>
  <si>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</si>
  <si>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</si>
  <si>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</si>
  <si>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</si>
  <si>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</si>
  <si>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</si>
  <si>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</si>
  <si>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</si>
  <si>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</si>
  <si>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</si>
  <si>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</si>
  <si>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</si>
  <si>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</si>
  <si>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</si>
  <si>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</si>
  <si>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</si>
  <si>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</si>
  <si>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</si>
  <si>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</si>
  <si>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</si>
  <si>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</si>
  <si>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</si>
  <si>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</si>
  <si>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</si>
  <si>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</si>
  <si>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</si>
  <si>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</si>
  <si>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</si>
  <si>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</si>
  <si>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</si>
  <si>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</si>
  <si>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</si>
  <si>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</si>
  <si>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</si>
  <si>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</si>
  <si>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</si>
  <si>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</si>
  <si>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</si>
  <si>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</si>
  <si>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</si>
  <si>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</si>
  <si>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</si>
  <si>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</si>
  <si>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</si>
  <si>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</si>
  <si>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</si>
  <si>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</si>
  <si>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</si>
  <si>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</si>
  <si>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</si>
  <si>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</si>
  <si>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</si>
  <si>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</si>
  <si>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</si>
  <si>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</si>
  <si>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</si>
  <si>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</si>
  <si>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</si>
  <si>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</si>
  <si>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</si>
  <si>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</si>
  <si>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</si>
  <si>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</si>
  <si>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</si>
  <si>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</si>
  <si>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</si>
  <si>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</si>
  <si>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</si>
  <si>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</si>
  <si>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</si>
  <si>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</si>
  <si>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</si>
  <si>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</si>
  <si>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</si>
  <si>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</si>
  <si>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</si>
  <si>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</si>
  <si>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</si>
  <si>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</si>
  <si>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</si>
  <si>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</si>
  <si>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</si>
  <si>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</si>
  <si>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</si>
  <si>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</si>
  <si>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</si>
  <si>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</si>
  <si>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</si>
  <si>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</si>
  <si>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</si>
  <si>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</si>
  <si>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</si>
  <si>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</si>
  <si>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</si>
  <si>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</si>
  <si>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</si>
  <si>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</si>
  <si>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</si>
  <si>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</si>
  <si>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</si>
  <si>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</si>
  <si>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</si>
  <si>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</si>
  <si>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</si>
  <si>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</si>
  <si>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</si>
  <si>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</si>
  <si>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</si>
  <si>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</si>
  <si>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</si>
  <si>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</si>
  <si>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</si>
  <si>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</si>
  <si>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</si>
  <si>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</si>
  <si>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</si>
  <si>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</si>
  <si>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</si>
  <si>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</si>
  <si>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</si>
  <si>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</si>
  <si>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</si>
  <si>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</si>
  <si>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</si>
  <si>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</si>
  <si>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</si>
  <si>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</si>
  <si>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</si>
  <si>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</si>
  <si>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</si>
  <si>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</si>
  <si>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</si>
  <si>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</si>
  <si>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</si>
  <si>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</si>
  <si>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</si>
  <si>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</si>
  <si>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</si>
  <si>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</si>
  <si>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</si>
  <si>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</si>
  <si>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</si>
  <si>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</si>
  <si>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</si>
  <si>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</si>
  <si>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</si>
  <si>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</si>
  <si>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</si>
  <si>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</si>
  <si>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</si>
  <si>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</si>
  <si>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</si>
  <si>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</si>
  <si>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</si>
  <si>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</si>
  <si>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</si>
  <si>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</si>
  <si>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</si>
  <si>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</si>
  <si>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</si>
  <si>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</si>
  <si>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</si>
  <si>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</si>
  <si>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</si>
  <si>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</si>
  <si>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</si>
  <si>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</si>
  <si>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</si>
  <si>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</si>
  <si>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</si>
  <si>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</si>
  <si>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</si>
  <si>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</si>
  <si>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</si>
  <si>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</si>
  <si>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</si>
  <si>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</si>
  <si>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</si>
  <si>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</si>
  <si>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</si>
  <si>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</si>
  <si>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</si>
  <si>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</si>
  <si>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</si>
  <si>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</si>
  <si>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</si>
  <si>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</si>
  <si>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</si>
  <si>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</si>
  <si>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</si>
  <si>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</si>
  <si>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</si>
  <si>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</si>
  <si>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</si>
  <si>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</si>
  <si>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</si>
  <si>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</si>
  <si>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</si>
  <si>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</si>
  <si>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</si>
  <si>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</si>
  <si>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</si>
  <si>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</si>
  <si>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</si>
  <si>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</si>
  <si>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</si>
  <si>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</si>
  <si>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</si>
  <si>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</si>
  <si>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</si>
  <si>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</si>
  <si>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</si>
  <si>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</si>
  <si>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</si>
  <si>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</si>
  <si>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</si>
  <si>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</si>
  <si>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</si>
  <si>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</si>
  <si>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</si>
  <si>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</si>
  <si>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</si>
  <si>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</si>
  <si>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</si>
  <si>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</si>
  <si>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</si>
  <si>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</si>
  <si>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</si>
  <si>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</si>
  <si>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</si>
  <si>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</si>
  <si>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</si>
  <si>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</si>
  <si>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</si>
  <si>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</si>
  <si>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</si>
  <si>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</si>
  <si>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</si>
  <si>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</si>
  <si>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</si>
  <si>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</si>
  <si>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</si>
  <si>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</si>
  <si>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</si>
  <si>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</si>
  <si>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</si>
  <si>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</si>
  <si>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</si>
  <si>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</si>
  <si>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</si>
  <si>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</si>
  <si>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</si>
  <si>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</si>
  <si>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</si>
  <si>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</si>
  <si>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</si>
  <si>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</si>
  <si>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</si>
  <si>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</si>
  <si>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</si>
  <si>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</si>
  <si>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</si>
  <si>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</si>
  <si>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</si>
  <si>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</si>
  <si>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</si>
  <si>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</si>
  <si>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</si>
  <si>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</si>
  <si>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</si>
  <si>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</si>
  <si>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</si>
  <si>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</si>
  <si>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</si>
  <si>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</si>
  <si>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</si>
  <si>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</si>
  <si>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</si>
  <si>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</si>
  <si>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</si>
  <si>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</si>
  <si>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</si>
  <si>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</si>
  <si>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</si>
  <si>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</si>
  <si>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</si>
  <si>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</si>
  <si>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</si>
  <si>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</si>
  <si>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</si>
  <si>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</si>
  <si>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</si>
  <si>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</si>
  <si>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</si>
  <si>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</si>
  <si>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</si>
  <si>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</si>
  <si>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</si>
  <si>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</si>
  <si>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</si>
  <si>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</si>
  <si>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</si>
  <si>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</si>
  <si>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</si>
  <si>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</si>
  <si>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</si>
  <si>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</si>
  <si>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</si>
  <si>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</si>
  <si>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</si>
  <si>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</si>
  <si>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</si>
  <si>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</si>
  <si>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</si>
  <si>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</si>
  <si>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</si>
  <si>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</si>
  <si>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</si>
  <si>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</si>
  <si>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</si>
  <si>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</si>
  <si>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</si>
  <si>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</si>
  <si>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</si>
  <si>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</si>
  <si>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</si>
  <si>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</si>
  <si>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</si>
  <si>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</si>
  <si>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</si>
  <si>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</si>
  <si>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</si>
  <si>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</si>
  <si>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</si>
  <si>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</si>
  <si>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</si>
  <si>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</si>
  <si>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</si>
  <si>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</si>
  <si>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</si>
  <si>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</si>
  <si>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</si>
  <si>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</si>
  <si>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</si>
  <si>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</si>
  <si>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</si>
  <si>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</si>
  <si>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</si>
  <si>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</si>
  <si>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</si>
  <si>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</si>
  <si>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</si>
  <si>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</si>
  <si>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</si>
  <si>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</si>
  <si>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</si>
  <si>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</si>
  <si>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</si>
  <si>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</si>
  <si>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</si>
  <si>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</si>
  <si>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</si>
  <si>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</si>
  <si>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</si>
  <si>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</si>
  <si>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</si>
  <si>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</si>
  <si>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</si>
  <si>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</si>
  <si>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</si>
  <si>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</si>
  <si>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</si>
  <si>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</si>
  <si>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</si>
  <si>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</si>
  <si>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</si>
  <si>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</si>
  <si>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</si>
  <si>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</si>
  <si>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</si>
  <si>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</si>
  <si>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</si>
  <si>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</si>
  <si>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</si>
  <si>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</si>
  <si>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</si>
  <si>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</si>
  <si>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</si>
  <si>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</si>
  <si>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</si>
  <si>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</si>
  <si>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</si>
  <si>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</si>
  <si>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</si>
  <si>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</si>
  <si>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</si>
  <si>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</si>
  <si>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</si>
  <si>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</si>
  <si>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</si>
  <si>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</si>
  <si>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</si>
  <si>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</si>
  <si>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</si>
  <si>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</si>
  <si>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</si>
  <si>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</si>
  <si>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</si>
  <si>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</si>
  <si>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</si>
  <si>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</si>
  <si>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</si>
  <si>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</si>
  <si>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</si>
  <si>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</si>
  <si>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</si>
  <si>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</si>
  <si>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</si>
  <si>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</si>
  <si>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</si>
  <si>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</si>
  <si>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</si>
  <si>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</si>
  <si>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</si>
  <si>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</si>
  <si>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</si>
  <si>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</si>
  <si>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</si>
  <si>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</si>
  <si>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</si>
  <si>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</si>
  <si>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</si>
  <si>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</si>
  <si>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</si>
  <si>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</si>
  <si>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</si>
  <si>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</si>
  <si>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</si>
  <si>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</si>
  <si>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</si>
  <si>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</si>
  <si>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</si>
  <si>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</si>
  <si>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</si>
  <si>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</si>
  <si>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</si>
  <si>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</si>
  <si>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</si>
  <si>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</si>
  <si>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</si>
  <si>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</si>
  <si>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</si>
  <si>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</si>
  <si>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</si>
  <si>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</si>
  <si>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</si>
  <si>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</si>
  <si>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</si>
  <si>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</si>
  <si>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</si>
  <si>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</si>
  <si>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</si>
  <si>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</si>
  <si>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</si>
  <si>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</si>
  <si>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</si>
  <si>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</si>
  <si>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</si>
  <si>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</si>
  <si>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</si>
  <si>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</si>
  <si>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</si>
  <si>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</si>
  <si>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</si>
  <si>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</si>
  <si>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</si>
  <si>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</si>
  <si>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</si>
  <si>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</si>
  <si>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</si>
  <si>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</si>
  <si>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</si>
  <si>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</si>
  <si>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</si>
  <si>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</si>
  <si>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</si>
  <si>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</si>
  <si>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</si>
  <si>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</si>
  <si>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</si>
  <si>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</si>
  <si>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</si>
  <si>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</si>
  <si>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</si>
  <si>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</si>
  <si>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</si>
  <si>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</si>
  <si>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</si>
  <si>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</si>
  <si>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</si>
  <si>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</si>
  <si>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</si>
  <si>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</si>
  <si>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</si>
  <si>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</si>
  <si>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</si>
  <si>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</si>
  <si>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</si>
  <si>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</si>
  <si>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</si>
  <si>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</si>
  <si>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</si>
  <si>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</si>
  <si>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</si>
  <si>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</si>
  <si>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</si>
  <si>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</si>
  <si>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</si>
  <si>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</si>
  <si>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</si>
  <si>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</si>
  <si>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</si>
  <si>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</si>
  <si>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</si>
  <si>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</si>
  <si>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</si>
  <si>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</si>
  <si>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</si>
  <si>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</si>
  <si>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</si>
  <si>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</si>
  <si>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</si>
  <si>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</si>
  <si>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</si>
  <si>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</si>
  <si>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</si>
  <si>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</si>
  <si>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</si>
  <si>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</si>
  <si>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</si>
  <si>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</si>
  <si>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</si>
  <si>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</si>
  <si>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</si>
  <si>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Pittsburg School District</t>
  </si>
  <si>
    <t>NFR moved to general fund rom sp revenue fund</t>
  </si>
  <si>
    <t>6 7 29</t>
  </si>
  <si>
    <t>11  12  14</t>
  </si>
  <si>
    <t>removed NFR to general fund</t>
  </si>
  <si>
    <t>FFV grant under 2190 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</si>
</sst>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H409" activePane="bottomRight" state="frozen"/>
      <selection pane="topRight" activeCell="F1" sqref="F1"/>
      <selection pane="bottomLeft" activeCell="A4" sqref="A4"/>
      <selection pane="bottomRight" activeCell="H422" sqref="H42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437</v>
      </c>
      <c r="C2" s="21">
        <v>437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364777.32</v>
      </c>
      <c r="G9" s="18">
        <v>14278.25</v>
      </c>
      <c r="H9" s="18"/>
      <c r="I9" s="18"/>
      <c r="J9" s="67">
        <f>SUM(I439)</f>
        <v>587344.27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13020.95</f>
        <v>13020.95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42529</v>
      </c>
      <c r="G13" s="18">
        <v>585.97</v>
      </c>
      <c r="H13" s="18">
        <v>19953.98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824.14</v>
      </c>
      <c r="G14" s="18">
        <v>67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1689.91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421151.41000000003</v>
      </c>
      <c r="G19" s="41">
        <f>SUM(G9:G18)</f>
        <v>16621.13</v>
      </c>
      <c r="H19" s="41">
        <f>SUM(H9:H18)</f>
        <v>19953.98</v>
      </c>
      <c r="I19" s="41">
        <f>SUM(I9:I18)</f>
        <v>0</v>
      </c>
      <c r="J19" s="41">
        <f>SUM(J9:J18)</f>
        <v>587344.27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17661.3+1024.93-6629.05+963.77</f>
        <v>13020.95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49586.52</v>
      </c>
      <c r="G24" s="18">
        <f>1219.17+317.16</f>
        <v>1536.3300000000002</v>
      </c>
      <c r="H24" s="18">
        <v>823.74</v>
      </c>
      <c r="I24" s="18"/>
      <c r="J24" s="67">
        <f>SUM(I450)</f>
        <v>30000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9710.09</v>
      </c>
      <c r="G28" s="18"/>
      <c r="H28" s="18">
        <f>246.5+18.85+38.63</f>
        <v>303.98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738.98+1091.04+8677.04</f>
        <v>10507.060000000001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5805.31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69803.67</v>
      </c>
      <c r="G32" s="41">
        <f>SUM(G22:G31)</f>
        <v>1536.3300000000002</v>
      </c>
      <c r="H32" s="41">
        <f>SUM(H22:H31)</f>
        <v>19953.98</v>
      </c>
      <c r="I32" s="41">
        <f>SUM(I22:I31)</f>
        <v>0</v>
      </c>
      <c r="J32" s="41">
        <f>SUM(J22:J31)</f>
        <v>30000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1689.91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11062.65+45438.97-43106.73</f>
        <v>13394.89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 t="s">
        <v>287</v>
      </c>
      <c r="H48" s="18"/>
      <c r="I48" s="18"/>
      <c r="J48" s="13">
        <f>SUM(I459)</f>
        <v>557344.27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736.4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288480.72+2702987.89-2640857.27</f>
        <v>350611.34000000032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351347.74000000034</v>
      </c>
      <c r="G51" s="41">
        <f>SUM(G35:G50)</f>
        <v>15084.8</v>
      </c>
      <c r="H51" s="41">
        <f>SUM(H35:H50)</f>
        <v>0</v>
      </c>
      <c r="I51" s="41">
        <f>SUM(I35:I50)</f>
        <v>0</v>
      </c>
      <c r="J51" s="41">
        <f>SUM(J35:J50)</f>
        <v>557344.27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421151.41000000032</v>
      </c>
      <c r="G52" s="41">
        <f>G51+G32</f>
        <v>16621.13</v>
      </c>
      <c r="H52" s="41">
        <f>H51+H32</f>
        <v>19953.98</v>
      </c>
      <c r="I52" s="41">
        <f>I51+I32</f>
        <v>0</v>
      </c>
      <c r="J52" s="41">
        <f>J51+J32</f>
        <v>587344.27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1600091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1600091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332259.12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332259.12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193.35</v>
      </c>
      <c r="G96" s="18"/>
      <c r="H96" s="18"/>
      <c r="I96" s="18"/>
      <c r="J96" s="18">
        <v>1796.93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13593.62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33468.65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31241.27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30327.55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2909.37+2973.64</f>
        <v>5883.01</v>
      </c>
      <c r="G110" s="18"/>
      <c r="H110" s="18">
        <v>496.83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101113.83</v>
      </c>
      <c r="G111" s="41">
        <f>SUM(G96:G110)</f>
        <v>13593.62</v>
      </c>
      <c r="H111" s="41">
        <f>SUM(H96:H110)</f>
        <v>496.83</v>
      </c>
      <c r="I111" s="41">
        <f>SUM(I96:I110)</f>
        <v>0</v>
      </c>
      <c r="J111" s="41">
        <f>SUM(J96:J110)</f>
        <v>1796.93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2033463.9500000002</v>
      </c>
      <c r="G112" s="41">
        <f>G60+G111</f>
        <v>13593.62</v>
      </c>
      <c r="H112" s="41">
        <f>H60+H79+H94+H111</f>
        <v>496.83</v>
      </c>
      <c r="I112" s="41">
        <f>I60+I111</f>
        <v>0</v>
      </c>
      <c r="J112" s="41">
        <f>J60+J111</f>
        <v>1796.93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35370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582793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618163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643.85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643.85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618163</v>
      </c>
      <c r="G140" s="41">
        <f>G121+SUM(G136:G137)</f>
        <v>643.85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43731.78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4445.13+3541.71</f>
        <v>7986.84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19001.5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1229.58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1229.58</v>
      </c>
      <c r="G162" s="41">
        <f>SUM(G150:G161)</f>
        <v>19001.5</v>
      </c>
      <c r="H162" s="41">
        <f>SUM(H150:H161)</f>
        <v>51718.619999999995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1229.58</v>
      </c>
      <c r="G169" s="41">
        <f>G147+G162+SUM(G163:G168)</f>
        <v>19001.5</v>
      </c>
      <c r="H169" s="41">
        <f>H147+H162+SUM(H163:H168)</f>
        <v>51718.619999999995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12200</v>
      </c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12200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53105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53105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53105</v>
      </c>
      <c r="G192" s="41">
        <f>G183+SUM(G188:G191)</f>
        <v>12200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2705961.5300000003</v>
      </c>
      <c r="G193" s="47">
        <f>G112+G140+G169+G192</f>
        <v>45438.97</v>
      </c>
      <c r="H193" s="47">
        <f>H112+H140+H169+H192</f>
        <v>52215.45</v>
      </c>
      <c r="I193" s="47">
        <f>I112+I140+I169+I192</f>
        <v>0</v>
      </c>
      <c r="J193" s="47">
        <f>J112+J140+J192</f>
        <v>31796.93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343728.95</v>
      </c>
      <c r="G197" s="18">
        <v>230140.02</v>
      </c>
      <c r="H197" s="18">
        <f>9820.71+1167.5+2358.36</f>
        <v>13346.57</v>
      </c>
      <c r="I197" s="18">
        <v>11325.35</v>
      </c>
      <c r="J197" s="18">
        <v>3419.23</v>
      </c>
      <c r="K197" s="18">
        <v>103.86</v>
      </c>
      <c r="L197" s="19">
        <f>SUM(F197:K197)</f>
        <v>602063.97999999986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45995.71</v>
      </c>
      <c r="G198" s="18">
        <v>18086.669999999998</v>
      </c>
      <c r="H198" s="18"/>
      <c r="I198" s="18"/>
      <c r="J198" s="18"/>
      <c r="K198" s="18"/>
      <c r="L198" s="19">
        <f>SUM(F198:K198)</f>
        <v>64082.38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5500</v>
      </c>
      <c r="G200" s="18">
        <v>1028.23</v>
      </c>
      <c r="H200" s="18">
        <f>3086.31+21.68</f>
        <v>3107.99</v>
      </c>
      <c r="I200" s="18">
        <v>1934.99</v>
      </c>
      <c r="J200" s="18">
        <v>171.33</v>
      </c>
      <c r="K200" s="18">
        <v>2067.66</v>
      </c>
      <c r="L200" s="19">
        <f>SUM(F200:K200)</f>
        <v>13810.199999999999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42032.66</v>
      </c>
      <c r="G202" s="18">
        <v>13601.34</v>
      </c>
      <c r="H202" s="18">
        <f>38937.86+2129.16+155.45+2553.89</f>
        <v>43776.36</v>
      </c>
      <c r="I202" s="18">
        <v>5217.2700000000004</v>
      </c>
      <c r="J202" s="18">
        <v>4408.16</v>
      </c>
      <c r="K202" s="18">
        <v>897.37</v>
      </c>
      <c r="L202" s="19">
        <f t="shared" ref="L202:L208" si="0">SUM(F202:K202)</f>
        <v>109933.16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33086.6</v>
      </c>
      <c r="G203" s="18">
        <v>10828.13</v>
      </c>
      <c r="H203" s="18">
        <f>986+115.34</f>
        <v>1101.3399999999999</v>
      </c>
      <c r="I203" s="18">
        <v>891.48</v>
      </c>
      <c r="J203" s="18">
        <v>429.11</v>
      </c>
      <c r="K203" s="18">
        <f>1700.5+2233</f>
        <v>3933.5</v>
      </c>
      <c r="L203" s="19">
        <f t="shared" si="0"/>
        <v>50270.159999999996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2376.5700000000002</v>
      </c>
      <c r="G204" s="18">
        <v>342.51</v>
      </c>
      <c r="H204" s="18">
        <f>130500.7+6342.79</f>
        <v>136843.49</v>
      </c>
      <c r="I204" s="18">
        <v>189.57</v>
      </c>
      <c r="J204" s="18"/>
      <c r="K204" s="18">
        <v>2537.56</v>
      </c>
      <c r="L204" s="19">
        <f t="shared" si="0"/>
        <v>142289.69999999998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59879.03</v>
      </c>
      <c r="G205" s="18">
        <v>25703.06</v>
      </c>
      <c r="H205" s="18">
        <f>763.69+212+3143.8</f>
        <v>4119.49</v>
      </c>
      <c r="I205" s="18">
        <v>617.71</v>
      </c>
      <c r="J205" s="18"/>
      <c r="K205" s="18">
        <v>2630.94</v>
      </c>
      <c r="L205" s="19">
        <f t="shared" si="0"/>
        <v>92950.23000000001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33877.07</v>
      </c>
      <c r="G207" s="18">
        <v>11536.74</v>
      </c>
      <c r="H207" s="18">
        <f>45999.45+37132.1+5099.42</f>
        <v>88230.969999999987</v>
      </c>
      <c r="I207" s="18">
        <v>53506.31</v>
      </c>
      <c r="J207" s="18">
        <v>2845.1</v>
      </c>
      <c r="K207" s="18">
        <v>844.89</v>
      </c>
      <c r="L207" s="19">
        <f t="shared" si="0"/>
        <v>190841.08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22184.91</v>
      </c>
      <c r="G208" s="18">
        <v>3082.66</v>
      </c>
      <c r="H208" s="18">
        <f>10467.32+2012.14</f>
        <v>12479.46</v>
      </c>
      <c r="I208" s="18">
        <v>9385.27</v>
      </c>
      <c r="J208" s="18">
        <v>42968.88</v>
      </c>
      <c r="K208" s="18">
        <v>309.48</v>
      </c>
      <c r="L208" s="19">
        <f t="shared" si="0"/>
        <v>90410.659999999989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588661.5</v>
      </c>
      <c r="G211" s="41">
        <f t="shared" si="1"/>
        <v>314349.36</v>
      </c>
      <c r="H211" s="41">
        <f t="shared" si="1"/>
        <v>303005.67</v>
      </c>
      <c r="I211" s="41">
        <f t="shared" si="1"/>
        <v>83067.95</v>
      </c>
      <c r="J211" s="41">
        <f t="shared" si="1"/>
        <v>54241.81</v>
      </c>
      <c r="K211" s="41">
        <f t="shared" si="1"/>
        <v>13325.259999999998</v>
      </c>
      <c r="L211" s="41">
        <f t="shared" si="1"/>
        <v>1356651.5499999998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355881.25</v>
      </c>
      <c r="G233" s="18">
        <v>162878.88</v>
      </c>
      <c r="H233" s="18">
        <f>7111.55+774.31+2440.24</f>
        <v>10326.1</v>
      </c>
      <c r="I233" s="18">
        <v>9611.77</v>
      </c>
      <c r="J233" s="18">
        <f>2973.64+16679.2</f>
        <v>19652.84</v>
      </c>
      <c r="K233" s="18">
        <v>170.14</v>
      </c>
      <c r="L233" s="19">
        <f>SUM(F233:K233)</f>
        <v>558520.98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38227.07</v>
      </c>
      <c r="G234" s="18">
        <v>16289.65</v>
      </c>
      <c r="H234" s="18"/>
      <c r="I234" s="18"/>
      <c r="J234" s="18"/>
      <c r="K234" s="18"/>
      <c r="L234" s="19">
        <f>SUM(F234:K234)</f>
        <v>54516.72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25068</v>
      </c>
      <c r="G236" s="18">
        <v>3851.1</v>
      </c>
      <c r="H236" s="18">
        <f>25131.49+3839.69</f>
        <v>28971.18</v>
      </c>
      <c r="I236" s="18">
        <v>1551.53</v>
      </c>
      <c r="J236" s="18"/>
      <c r="K236" s="18">
        <v>8363.99</v>
      </c>
      <c r="L236" s="19">
        <f>SUM(F236:K236)</f>
        <v>67805.8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46857.16</v>
      </c>
      <c r="G238" s="18">
        <v>22657.29</v>
      </c>
      <c r="H238" s="18">
        <f>19451.79+1659.36+119.05</f>
        <v>21230.2</v>
      </c>
      <c r="I238" s="18">
        <f>3215.54+1830.91</f>
        <v>5046.45</v>
      </c>
      <c r="J238" s="18">
        <v>11751.9</v>
      </c>
      <c r="K238" s="18">
        <v>714.97</v>
      </c>
      <c r="L238" s="19">
        <f t="shared" ref="L238:L244" si="4">SUM(F238:K238)</f>
        <v>108257.97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26799.65</v>
      </c>
      <c r="G239" s="18">
        <v>9359.65</v>
      </c>
      <c r="H239" s="18">
        <f>1289+501.88</f>
        <v>1790.88</v>
      </c>
      <c r="I239" s="18">
        <v>855.51</v>
      </c>
      <c r="J239" s="18">
        <v>286.08</v>
      </c>
      <c r="K239" s="18">
        <f>2091.5+1617</f>
        <v>3708.5</v>
      </c>
      <c r="L239" s="19">
        <f t="shared" si="4"/>
        <v>42800.270000000004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1061.97</v>
      </c>
      <c r="G240" s="18">
        <v>85.14</v>
      </c>
      <c r="H240" s="18">
        <f>85431.58+4045.42</f>
        <v>89477</v>
      </c>
      <c r="I240" s="18">
        <v>173.92</v>
      </c>
      <c r="J240" s="18"/>
      <c r="K240" s="18">
        <v>1750.15</v>
      </c>
      <c r="L240" s="19">
        <f t="shared" si="4"/>
        <v>92548.18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59823.25</v>
      </c>
      <c r="G241" s="18">
        <v>18872.490000000002</v>
      </c>
      <c r="H241" s="18">
        <f>488.26+212+2479.25</f>
        <v>3179.51</v>
      </c>
      <c r="I241" s="18">
        <v>689.97</v>
      </c>
      <c r="J241" s="18"/>
      <c r="K241" s="18">
        <v>1867.06</v>
      </c>
      <c r="L241" s="19">
        <f t="shared" si="4"/>
        <v>84432.28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32934.480000000003</v>
      </c>
      <c r="G243" s="18">
        <v>7585.55</v>
      </c>
      <c r="H243" s="18">
        <f>32254.18+28074.74+3274.3</f>
        <v>63603.22</v>
      </c>
      <c r="I243" s="18">
        <v>38358.089999999997</v>
      </c>
      <c r="J243" s="18">
        <v>419.8</v>
      </c>
      <c r="K243" s="18">
        <v>628.55999999999995</v>
      </c>
      <c r="L243" s="19">
        <f t="shared" si="4"/>
        <v>143529.69999999998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33280.589999999997</v>
      </c>
      <c r="G244" s="18">
        <v>3382.66</v>
      </c>
      <c r="H244" s="18">
        <f>7490.76+1313.62</f>
        <v>8804.380000000001</v>
      </c>
      <c r="I244" s="18">
        <v>6828.17</v>
      </c>
      <c r="J244" s="18">
        <v>32415.119999999999</v>
      </c>
      <c r="K244" s="18">
        <v>701.44</v>
      </c>
      <c r="L244" s="19">
        <f t="shared" si="4"/>
        <v>85412.36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619933.41999999993</v>
      </c>
      <c r="G247" s="41">
        <f t="shared" si="5"/>
        <v>244962.41</v>
      </c>
      <c r="H247" s="41">
        <f t="shared" si="5"/>
        <v>227382.47</v>
      </c>
      <c r="I247" s="41">
        <f t="shared" si="5"/>
        <v>63115.409999999989</v>
      </c>
      <c r="J247" s="41">
        <f t="shared" si="5"/>
        <v>64525.74</v>
      </c>
      <c r="K247" s="41">
        <f t="shared" si="5"/>
        <v>17904.809999999998</v>
      </c>
      <c r="L247" s="41">
        <f t="shared" si="5"/>
        <v>1237824.26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4177.56+2977.54</f>
        <v>7155.1</v>
      </c>
      <c r="I255" s="18"/>
      <c r="J255" s="18"/>
      <c r="K255" s="18"/>
      <c r="L255" s="19">
        <f t="shared" si="6"/>
        <v>7155.1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7155.1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7155.1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1208594.92</v>
      </c>
      <c r="G257" s="41">
        <f t="shared" si="8"/>
        <v>559311.77</v>
      </c>
      <c r="H257" s="41">
        <f t="shared" si="8"/>
        <v>537543.24</v>
      </c>
      <c r="I257" s="41">
        <f t="shared" si="8"/>
        <v>146183.35999999999</v>
      </c>
      <c r="J257" s="41">
        <f t="shared" si="8"/>
        <v>118767.54999999999</v>
      </c>
      <c r="K257" s="41">
        <f t="shared" si="8"/>
        <v>31230.069999999996</v>
      </c>
      <c r="L257" s="41">
        <f t="shared" si="8"/>
        <v>2601630.9099999997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7580+4620</f>
        <v>12200</v>
      </c>
      <c r="L263" s="19">
        <f>SUM(F263:K263)</f>
        <v>12200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42200</v>
      </c>
      <c r="L270" s="41">
        <f t="shared" si="9"/>
        <v>42200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1208594.92</v>
      </c>
      <c r="G271" s="42">
        <f t="shared" si="11"/>
        <v>559311.77</v>
      </c>
      <c r="H271" s="42">
        <f t="shared" si="11"/>
        <v>537543.24</v>
      </c>
      <c r="I271" s="42">
        <f t="shared" si="11"/>
        <v>146183.35999999999</v>
      </c>
      <c r="J271" s="42">
        <f t="shared" si="11"/>
        <v>118767.54999999999</v>
      </c>
      <c r="K271" s="42">
        <f t="shared" si="11"/>
        <v>73430.069999999992</v>
      </c>
      <c r="L271" s="42">
        <f t="shared" si="11"/>
        <v>2643830.9099999997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31502.81</v>
      </c>
      <c r="G276" s="18">
        <f>4382.47+2410+4936.5</f>
        <v>11728.970000000001</v>
      </c>
      <c r="H276" s="18"/>
      <c r="I276" s="18">
        <v>496.83</v>
      </c>
      <c r="J276" s="18"/>
      <c r="K276" s="18"/>
      <c r="L276" s="19">
        <f>SUM(F276:K276)</f>
        <v>43728.61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>
        <v>3541.71</v>
      </c>
      <c r="L281" s="19">
        <f t="shared" ref="L281:L287" si="12">SUM(F281:K281)</f>
        <v>3541.71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1154.3</v>
      </c>
      <c r="G282" s="18">
        <f>85.66+180.91</f>
        <v>266.57</v>
      </c>
      <c r="H282" s="18">
        <v>776.96</v>
      </c>
      <c r="I282" s="18"/>
      <c r="J282" s="18"/>
      <c r="K282" s="18">
        <v>1504</v>
      </c>
      <c r="L282" s="19">
        <f t="shared" si="12"/>
        <v>3701.83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500</v>
      </c>
      <c r="L285" s="19">
        <f t="shared" si="12"/>
        <v>500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32657.11</v>
      </c>
      <c r="G290" s="42">
        <f t="shared" si="13"/>
        <v>11995.54</v>
      </c>
      <c r="H290" s="42">
        <f t="shared" si="13"/>
        <v>776.96</v>
      </c>
      <c r="I290" s="42">
        <f t="shared" si="13"/>
        <v>496.83</v>
      </c>
      <c r="J290" s="42">
        <f t="shared" si="13"/>
        <v>0</v>
      </c>
      <c r="K290" s="42">
        <f t="shared" si="13"/>
        <v>5545.71</v>
      </c>
      <c r="L290" s="41">
        <f t="shared" si="13"/>
        <v>51472.15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605.20000000000005</v>
      </c>
      <c r="G320" s="18">
        <v>138.1</v>
      </c>
      <c r="H320" s="18"/>
      <c r="I320" s="18"/>
      <c r="J320" s="18"/>
      <c r="K320" s="18"/>
      <c r="L320" s="19">
        <f t="shared" si="16"/>
        <v>743.30000000000007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605.20000000000005</v>
      </c>
      <c r="G328" s="42">
        <f t="shared" si="17"/>
        <v>138.1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743.30000000000007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33262.31</v>
      </c>
      <c r="G338" s="41">
        <f t="shared" si="20"/>
        <v>12133.640000000001</v>
      </c>
      <c r="H338" s="41">
        <f t="shared" si="20"/>
        <v>776.96</v>
      </c>
      <c r="I338" s="41">
        <f t="shared" si="20"/>
        <v>496.83</v>
      </c>
      <c r="J338" s="41">
        <f t="shared" si="20"/>
        <v>0</v>
      </c>
      <c r="K338" s="41">
        <f t="shared" si="20"/>
        <v>5545.71</v>
      </c>
      <c r="L338" s="41">
        <f t="shared" si="20"/>
        <v>52215.450000000004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33262.31</v>
      </c>
      <c r="G352" s="41">
        <f>G338</f>
        <v>12133.640000000001</v>
      </c>
      <c r="H352" s="41">
        <f>H338</f>
        <v>776.96</v>
      </c>
      <c r="I352" s="41">
        <f>I338</f>
        <v>496.83</v>
      </c>
      <c r="J352" s="41">
        <f>J338</f>
        <v>0</v>
      </c>
      <c r="K352" s="47">
        <f>K338+K351</f>
        <v>5545.71</v>
      </c>
      <c r="L352" s="41">
        <f>L338+L351</f>
        <v>52215.450000000004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624.26+23889.7</f>
        <v>24513.96</v>
      </c>
      <c r="I358" s="18">
        <v>504.09</v>
      </c>
      <c r="J358" s="18"/>
      <c r="K358" s="18"/>
      <c r="L358" s="13">
        <f>SUM(F358:K358)</f>
        <v>25018.05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419.85+17299.4</f>
        <v>17719.25</v>
      </c>
      <c r="I360" s="18">
        <v>369.43</v>
      </c>
      <c r="J360" s="18"/>
      <c r="K360" s="18"/>
      <c r="L360" s="19">
        <f>SUM(F360:K360)</f>
        <v>18088.68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42233.21</v>
      </c>
      <c r="I362" s="47">
        <f t="shared" si="22"/>
        <v>873.52</v>
      </c>
      <c r="J362" s="47">
        <f t="shared" si="22"/>
        <v>0</v>
      </c>
      <c r="K362" s="47">
        <f t="shared" si="22"/>
        <v>0</v>
      </c>
      <c r="L362" s="47">
        <f t="shared" si="22"/>
        <v>43106.729999999996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504.09</v>
      </c>
      <c r="G368" s="63"/>
      <c r="H368" s="63">
        <v>369.43</v>
      </c>
      <c r="I368" s="56">
        <f>SUM(F368:H368)</f>
        <v>873.52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504.09</v>
      </c>
      <c r="G369" s="47">
        <f>SUM(G367:G368)</f>
        <v>0</v>
      </c>
      <c r="H369" s="47">
        <f>SUM(H367:H368)</f>
        <v>369.43</v>
      </c>
      <c r="I369" s="47">
        <f>SUM(I367:I368)</f>
        <v>873.52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>
        <f>10.75+293.66+257.58</f>
        <v>561.99</v>
      </c>
      <c r="I396" s="18"/>
      <c r="J396" s="24" t="s">
        <v>289</v>
      </c>
      <c r="K396" s="24" t="s">
        <v>289</v>
      </c>
      <c r="L396" s="56">
        <f t="shared" si="26"/>
        <v>20561.990000000002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277.83999999999997</v>
      </c>
      <c r="I398" s="18"/>
      <c r="J398" s="24" t="s">
        <v>289</v>
      </c>
      <c r="K398" s="24" t="s">
        <v>289</v>
      </c>
      <c r="L398" s="56">
        <f t="shared" si="26"/>
        <v>277.83999999999997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10000</v>
      </c>
      <c r="H399" s="18">
        <v>38.270000000000003</v>
      </c>
      <c r="I399" s="18"/>
      <c r="J399" s="24" t="s">
        <v>289</v>
      </c>
      <c r="K399" s="24" t="s">
        <v>289</v>
      </c>
      <c r="L399" s="56">
        <f t="shared" si="26"/>
        <v>10038.27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73.17+795.17+20.78+29.71</f>
        <v>918.82999999999993</v>
      </c>
      <c r="I400" s="18"/>
      <c r="J400" s="24" t="s">
        <v>289</v>
      </c>
      <c r="K400" s="24" t="s">
        <v>289</v>
      </c>
      <c r="L400" s="56">
        <f t="shared" si="26"/>
        <v>918.82999999999993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1796.9299999999998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31796.93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1796.9299999999998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31796.93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30000</v>
      </c>
      <c r="L422" s="56">
        <f t="shared" si="29"/>
        <v>30000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23105</v>
      </c>
      <c r="L426" s="56">
        <f t="shared" si="29"/>
        <v>23105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53105</v>
      </c>
      <c r="L427" s="47">
        <f t="shared" si="30"/>
        <v>53105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53105</v>
      </c>
      <c r="L434" s="47">
        <f t="shared" si="32"/>
        <v>53105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587344.27</v>
      </c>
      <c r="H439" s="18"/>
      <c r="I439" s="56">
        <f t="shared" ref="I439:I445" si="33">SUM(F439:H439)</f>
        <v>587344.27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587344.27</v>
      </c>
      <c r="H446" s="13">
        <f>SUM(H439:H445)</f>
        <v>0</v>
      </c>
      <c r="I446" s="13">
        <f>SUM(I439:I445)</f>
        <v>587344.27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30000</v>
      </c>
      <c r="H450" s="18"/>
      <c r="I450" s="56">
        <f>SUM(F450:H450)</f>
        <v>30000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30000</v>
      </c>
      <c r="H452" s="72">
        <f>SUM(H448:H451)</f>
        <v>0</v>
      </c>
      <c r="I452" s="72">
        <f>SUM(I448:I451)</f>
        <v>30000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587344.27-30000</f>
        <v>557344.27</v>
      </c>
      <c r="H459" s="18"/>
      <c r="I459" s="56">
        <f t="shared" si="34"/>
        <v>557344.27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557344.27</v>
      </c>
      <c r="H460" s="83">
        <f>SUM(H454:H459)</f>
        <v>0</v>
      </c>
      <c r="I460" s="83">
        <f>SUM(I454:I459)</f>
        <v>557344.27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587344.27</v>
      </c>
      <c r="H461" s="42">
        <f>H452+H460</f>
        <v>0</v>
      </c>
      <c r="I461" s="42">
        <f>I452+I460</f>
        <v>587344.27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293641.93</v>
      </c>
      <c r="G465" s="18">
        <v>12050.3</v>
      </c>
      <c r="H465" s="18"/>
      <c r="I465" s="18"/>
      <c r="J465" s="18">
        <v>578652.94999999995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2702987.89+2973.64</f>
        <v>2705961.5300000003</v>
      </c>
      <c r="G468" s="18">
        <v>45438.97</v>
      </c>
      <c r="H468" s="18">
        <f>55189.09-2973.64</f>
        <v>52215.45</v>
      </c>
      <c r="I468" s="18"/>
      <c r="J468" s="18">
        <f>1796.93+30000</f>
        <v>31796.93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f>2073.23</f>
        <v>2073.23</v>
      </c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2705961.5300000003</v>
      </c>
      <c r="G470" s="53">
        <f>SUM(G468:G469)</f>
        <v>47512.200000000004</v>
      </c>
      <c r="H470" s="53">
        <f>SUM(H468:H469)</f>
        <v>52215.45</v>
      </c>
      <c r="I470" s="53">
        <f>SUM(I468:I469)</f>
        <v>0</v>
      </c>
      <c r="J470" s="53">
        <f>SUM(J468:J469)</f>
        <v>31796.93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2640857.27+2973.64</f>
        <v>2643830.91</v>
      </c>
      <c r="G472" s="18">
        <v>43106.73</v>
      </c>
      <c r="H472" s="18">
        <f>55189.09-2973.64</f>
        <v>52215.45</v>
      </c>
      <c r="I472" s="18"/>
      <c r="J472" s="18">
        <v>53105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4424.8100000000004</v>
      </c>
      <c r="G473" s="18">
        <f>1370.97</f>
        <v>1370.97</v>
      </c>
      <c r="H473" s="18"/>
      <c r="I473" s="18"/>
      <c r="J473" s="18">
        <v>0.61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2648255.7200000002</v>
      </c>
      <c r="G474" s="53">
        <f>SUM(G472:G473)</f>
        <v>44477.700000000004</v>
      </c>
      <c r="H474" s="53">
        <f>SUM(H472:H473)</f>
        <v>52215.45</v>
      </c>
      <c r="I474" s="53">
        <f>SUM(I472:I473)</f>
        <v>0</v>
      </c>
      <c r="J474" s="53">
        <f>SUM(J472:J473)</f>
        <v>53105.61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351347.74000000022</v>
      </c>
      <c r="G476" s="53">
        <f>(G465+G470)- G474</f>
        <v>15084.799999999996</v>
      </c>
      <c r="H476" s="53">
        <f>(H465+H470)- H474</f>
        <v>0</v>
      </c>
      <c r="I476" s="53">
        <f>(I465+I470)- I474</f>
        <v>0</v>
      </c>
      <c r="J476" s="53">
        <f>(J465+J470)- J474</f>
        <v>557344.27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45995.71</v>
      </c>
      <c r="G521" s="18">
        <v>18086.669999999998</v>
      </c>
      <c r="H521" s="18"/>
      <c r="I521" s="18"/>
      <c r="J521" s="18"/>
      <c r="K521" s="18"/>
      <c r="L521" s="88">
        <f>SUM(F521:K521)</f>
        <v>64082.38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38227.07</v>
      </c>
      <c r="G523" s="18">
        <v>16289.65</v>
      </c>
      <c r="H523" s="18"/>
      <c r="I523" s="18"/>
      <c r="J523" s="18"/>
      <c r="K523" s="18"/>
      <c r="L523" s="88">
        <f>SUM(F523:K523)</f>
        <v>54516.72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84222.78</v>
      </c>
      <c r="G524" s="108">
        <f t="shared" ref="G524:L524" si="36">SUM(G521:G523)</f>
        <v>34376.32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118599.1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13715.55</v>
      </c>
      <c r="G526" s="18">
        <v>1032.43</v>
      </c>
      <c r="H526" s="18">
        <f>5998+4760.25</f>
        <v>10758.25</v>
      </c>
      <c r="I526" s="18">
        <v>1132.48</v>
      </c>
      <c r="J526" s="18"/>
      <c r="K526" s="18"/>
      <c r="L526" s="88">
        <f>SUM(F526:K526)</f>
        <v>26638.71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12069.2</v>
      </c>
      <c r="G528" s="18">
        <v>2271.4299999999998</v>
      </c>
      <c r="H528" s="18">
        <f>5998+1990.65</f>
        <v>7988.65</v>
      </c>
      <c r="I528" s="18"/>
      <c r="J528" s="18"/>
      <c r="K528" s="18"/>
      <c r="L528" s="88">
        <f>SUM(F528:K528)</f>
        <v>22329.279999999999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25784.75</v>
      </c>
      <c r="G529" s="89">
        <f t="shared" ref="G529:L529" si="37">SUM(G526:G528)</f>
        <v>3303.8599999999997</v>
      </c>
      <c r="H529" s="89">
        <f t="shared" si="37"/>
        <v>18746.900000000001</v>
      </c>
      <c r="I529" s="89">
        <f t="shared" si="37"/>
        <v>1132.48</v>
      </c>
      <c r="J529" s="89">
        <f t="shared" si="37"/>
        <v>0</v>
      </c>
      <c r="K529" s="89">
        <f t="shared" si="37"/>
        <v>0</v>
      </c>
      <c r="L529" s="89">
        <f t="shared" si="37"/>
        <v>48967.99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8659</v>
      </c>
      <c r="I531" s="18"/>
      <c r="J531" s="18"/>
      <c r="K531" s="18"/>
      <c r="L531" s="88">
        <f>SUM(F531:K531)</f>
        <v>8659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8659</v>
      </c>
      <c r="I533" s="18"/>
      <c r="J533" s="18"/>
      <c r="K533" s="18"/>
      <c r="L533" s="88">
        <f>SUM(F533:K533)</f>
        <v>8659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17318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17318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110007.53</v>
      </c>
      <c r="G545" s="89">
        <f t="shared" ref="G545:L545" si="41">G524+G529+G534+G539+G544</f>
        <v>37680.18</v>
      </c>
      <c r="H545" s="89">
        <f t="shared" si="41"/>
        <v>36064.9</v>
      </c>
      <c r="I545" s="89">
        <f t="shared" si="41"/>
        <v>1132.48</v>
      </c>
      <c r="J545" s="89">
        <f t="shared" si="41"/>
        <v>0</v>
      </c>
      <c r="K545" s="89">
        <f t="shared" si="41"/>
        <v>0</v>
      </c>
      <c r="L545" s="89">
        <f t="shared" si="41"/>
        <v>184885.09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64082.38</v>
      </c>
      <c r="G549" s="87">
        <f>L526</f>
        <v>26638.71</v>
      </c>
      <c r="H549" s="87">
        <f>L531</f>
        <v>8659</v>
      </c>
      <c r="I549" s="87">
        <f>L536</f>
        <v>0</v>
      </c>
      <c r="J549" s="87">
        <f>L541</f>
        <v>0</v>
      </c>
      <c r="K549" s="87">
        <f>SUM(F549:J549)</f>
        <v>99380.09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54516.72</v>
      </c>
      <c r="G551" s="87">
        <f>L528</f>
        <v>22329.279999999999</v>
      </c>
      <c r="H551" s="87">
        <f>L533</f>
        <v>8659</v>
      </c>
      <c r="I551" s="87">
        <f>L538</f>
        <v>0</v>
      </c>
      <c r="J551" s="87">
        <f>L543</f>
        <v>0</v>
      </c>
      <c r="K551" s="87">
        <f>SUM(F551:J551)</f>
        <v>85505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118599.1</v>
      </c>
      <c r="G552" s="89">
        <f t="shared" si="42"/>
        <v>48967.99</v>
      </c>
      <c r="H552" s="89">
        <f t="shared" si="42"/>
        <v>17318</v>
      </c>
      <c r="I552" s="89">
        <f t="shared" si="42"/>
        <v>0</v>
      </c>
      <c r="J552" s="89">
        <f t="shared" si="42"/>
        <v>0</v>
      </c>
      <c r="K552" s="89">
        <f t="shared" si="42"/>
        <v>184885.09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88108.97</v>
      </c>
      <c r="I591" s="18"/>
      <c r="J591" s="18">
        <v>55052.76</v>
      </c>
      <c r="K591" s="104">
        <f t="shared" ref="K591:K597" si="48">SUM(H591:J591)</f>
        <v>143161.73000000001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4735.6000000000004</v>
      </c>
      <c r="K593" s="104">
        <f t="shared" si="48"/>
        <v>4735.6000000000004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352.01</v>
      </c>
      <c r="I594" s="18"/>
      <c r="J594" s="18">
        <v>21653.55</v>
      </c>
      <c r="K594" s="104">
        <f t="shared" si="48"/>
        <v>22005.559999999998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1949.68</v>
      </c>
      <c r="I595" s="18"/>
      <c r="J595" s="18">
        <v>3970.45</v>
      </c>
      <c r="K595" s="104">
        <f t="shared" si="48"/>
        <v>5920.13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90410.659999999989</v>
      </c>
      <c r="I598" s="108">
        <f>SUM(I591:I597)</f>
        <v>0</v>
      </c>
      <c r="J598" s="108">
        <f>SUM(J591:J597)</f>
        <v>85412.36</v>
      </c>
      <c r="K598" s="108">
        <f>SUM(K591:K597)</f>
        <v>175823.02000000002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54241.81</v>
      </c>
      <c r="I604" s="18"/>
      <c r="J604" s="18">
        <v>64525.74</v>
      </c>
      <c r="K604" s="104">
        <f>SUM(H604:J604)</f>
        <v>118767.54999999999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54241.81</v>
      </c>
      <c r="I605" s="108">
        <f>SUM(I602:I604)</f>
        <v>0</v>
      </c>
      <c r="J605" s="108">
        <f>SUM(J602:J604)</f>
        <v>64525.74</v>
      </c>
      <c r="K605" s="108">
        <f>SUM(K602:K604)</f>
        <v>118767.54999999999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421151.41000000003</v>
      </c>
      <c r="H617" s="109">
        <f>SUM(F52)</f>
        <v>421151.41000000032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16621.13</v>
      </c>
      <c r="H618" s="109">
        <f>SUM(G52)</f>
        <v>16621.13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19953.98</v>
      </c>
      <c r="H619" s="109">
        <f>SUM(H52)</f>
        <v>19953.98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587344.27</v>
      </c>
      <c r="H621" s="109">
        <f>SUM(J52)</f>
        <v>587344.27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351347.74000000034</v>
      </c>
      <c r="H622" s="109">
        <f>F476</f>
        <v>351347.74000000022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15084.8</v>
      </c>
      <c r="H623" s="109">
        <f>G476</f>
        <v>15084.799999999996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557344.27</v>
      </c>
      <c r="H626" s="109">
        <f>J476</f>
        <v>557344.27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2705961.5300000003</v>
      </c>
      <c r="H627" s="104">
        <f>SUM(F468)</f>
        <v>2705961.5300000003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45438.97</v>
      </c>
      <c r="H628" s="104">
        <f>SUM(G468)</f>
        <v>45438.97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52215.45</v>
      </c>
      <c r="H629" s="104">
        <f>SUM(H468)</f>
        <v>52215.45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31796.93</v>
      </c>
      <c r="H631" s="104">
        <f>SUM(J468)</f>
        <v>31796.93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2643830.9099999997</v>
      </c>
      <c r="H632" s="104">
        <f>SUM(F472)</f>
        <v>2643830.91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52215.450000000004</v>
      </c>
      <c r="H633" s="104">
        <f>SUM(H472)</f>
        <v>52215.45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873.52</v>
      </c>
      <c r="H634" s="104">
        <f>I369</f>
        <v>873.52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43106.729999999996</v>
      </c>
      <c r="H635" s="104">
        <f>SUM(G472)</f>
        <v>43106.73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31796.93</v>
      </c>
      <c r="H637" s="164">
        <f>SUM(J468)</f>
        <v>31796.93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53105</v>
      </c>
      <c r="H638" s="164">
        <f>SUM(J472)</f>
        <v>53105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587344.27</v>
      </c>
      <c r="H640" s="104">
        <f>SUM(G461)</f>
        <v>587344.27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587344.27</v>
      </c>
      <c r="H642" s="104">
        <f>SUM(I461)</f>
        <v>587344.27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1796.93</v>
      </c>
      <c r="H644" s="104">
        <f>H408</f>
        <v>1796.9299999999998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31796.93</v>
      </c>
      <c r="H646" s="104">
        <f>L408</f>
        <v>31796.93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175823.02000000002</v>
      </c>
      <c r="H647" s="104">
        <f>L208+L226+L244</f>
        <v>175823.02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118767.54999999999</v>
      </c>
      <c r="H648" s="104">
        <f>(J257+J338)-(J255+J336)</f>
        <v>118767.54999999999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90410.659999999989</v>
      </c>
      <c r="H649" s="104">
        <f>H598</f>
        <v>90410.659999999989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85412.36</v>
      </c>
      <c r="H651" s="104">
        <f>J598</f>
        <v>85412.36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12200</v>
      </c>
      <c r="H652" s="104">
        <f>K263+K345</f>
        <v>12200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1433141.7499999998</v>
      </c>
      <c r="G660" s="19">
        <f>(L229+L309+L359)</f>
        <v>0</v>
      </c>
      <c r="H660" s="19">
        <f>(L247+L328+L360)</f>
        <v>1256656.24</v>
      </c>
      <c r="I660" s="19">
        <f>SUM(F660:H660)</f>
        <v>2689797.9899999998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7889.3913976077529</v>
      </c>
      <c r="G661" s="19">
        <f>(L359/IF(SUM(L358:L360)=0,1,SUM(L358:L360))*(SUM(G97:G110)))</f>
        <v>0</v>
      </c>
      <c r="H661" s="19">
        <f>(L360/IF(SUM(L358:L360)=0,1,SUM(L358:L360))*(SUM(G97:G110)))</f>
        <v>5704.2286023922497</v>
      </c>
      <c r="I661" s="19">
        <f>SUM(F661:H661)</f>
        <v>13593.620000000003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47441.779999999992</v>
      </c>
      <c r="G662" s="19">
        <f>(L226+L306)-(J226+J306)</f>
        <v>0</v>
      </c>
      <c r="H662" s="19">
        <f>(L244+L325)-(J244+J325)</f>
        <v>52997.240000000005</v>
      </c>
      <c r="I662" s="19">
        <f>SUM(F662:H662)</f>
        <v>100439.01999999999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54241.81</v>
      </c>
      <c r="G663" s="199">
        <f>SUM(G575:G587)+SUM(I602:I604)+L612</f>
        <v>0</v>
      </c>
      <c r="H663" s="199">
        <f>SUM(H575:H587)+SUM(J602:J604)+L613</f>
        <v>64525.74</v>
      </c>
      <c r="I663" s="19">
        <f>SUM(F663:H663)</f>
        <v>118767.54999999999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1323568.7686023919</v>
      </c>
      <c r="G664" s="19">
        <f>G660-SUM(G661:G663)</f>
        <v>0</v>
      </c>
      <c r="H664" s="19">
        <f>H660-SUM(H661:H663)</f>
        <v>1133429.0313976076</v>
      </c>
      <c r="I664" s="19">
        <f>I660-SUM(I661:I663)</f>
        <v>2456997.7999999998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0.22+6+48.17</f>
        <v>54.39</v>
      </c>
      <c r="G665" s="248"/>
      <c r="H665" s="248">
        <v>37.880000000000003</v>
      </c>
      <c r="I665" s="19">
        <f>SUM(F665:H665)</f>
        <v>92.27000000000001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24334.78</v>
      </c>
      <c r="G667" s="19" t="e">
        <f>ROUND(G664/G665,2)</f>
        <v>#DIV/0!</v>
      </c>
      <c r="H667" s="19">
        <f>ROUND(H664/H665,2)</f>
        <v>29921.57</v>
      </c>
      <c r="I667" s="19">
        <f>ROUND(I664/I665,2)</f>
        <v>26628.35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24334.78</v>
      </c>
      <c r="G672" s="19" t="e">
        <f>ROUND((G664+G669)/(G665+G670),2)</f>
        <v>#DIV/0!</v>
      </c>
      <c r="H672" s="19">
        <f>ROUND((H664+H669)/(H665+H670),2)</f>
        <v>29921.57</v>
      </c>
      <c r="I672" s="19">
        <f>ROUND((I664+I669)/(I665+I670),2)</f>
        <v>26628.35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1" sqref="C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Pittsburg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731113.01</v>
      </c>
      <c r="C9" s="229">
        <f>'DOE25'!G197+'DOE25'!G215+'DOE25'!G233+'DOE25'!G276+'DOE25'!G295+'DOE25'!G314</f>
        <v>404747.87</v>
      </c>
    </row>
    <row r="10" spans="1:3" x14ac:dyDescent="0.2">
      <c r="A10" t="s">
        <v>779</v>
      </c>
      <c r="B10" s="240">
        <f>676647.28+31502.81+12912.92</f>
        <v>721063.01000000013</v>
      </c>
      <c r="C10" s="240">
        <f>403979.04</f>
        <v>403979.04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10050</v>
      </c>
      <c r="C12" s="240">
        <v>768.83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731113.01000000013</v>
      </c>
      <c r="C13" s="231">
        <f>SUM(C10:C12)</f>
        <v>404747.87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84222.78</v>
      </c>
      <c r="C18" s="229">
        <f>'DOE25'!G198+'DOE25'!G216+'DOE25'!G234+'DOE25'!G277+'DOE25'!G296+'DOE25'!G315</f>
        <v>34376.32</v>
      </c>
    </row>
    <row r="19" spans="1:3" x14ac:dyDescent="0.2">
      <c r="A19" t="s">
        <v>779</v>
      </c>
      <c r="B19" s="240">
        <f>49188+2662.75</f>
        <v>51850.75</v>
      </c>
      <c r="C19" s="240">
        <v>31490.66</v>
      </c>
    </row>
    <row r="20" spans="1:3" x14ac:dyDescent="0.2">
      <c r="A20" t="s">
        <v>780</v>
      </c>
      <c r="B20" s="240">
        <v>31774.3</v>
      </c>
      <c r="C20" s="240">
        <v>2428.4</v>
      </c>
    </row>
    <row r="21" spans="1:3" x14ac:dyDescent="0.2">
      <c r="A21" t="s">
        <v>781</v>
      </c>
      <c r="B21" s="240">
        <f>495.73+102</f>
        <v>597.73</v>
      </c>
      <c r="C21" s="240">
        <v>457.26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84222.78</v>
      </c>
      <c r="C22" s="231">
        <f>SUM(C19:C21)</f>
        <v>34376.32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30568</v>
      </c>
      <c r="C36" s="235">
        <f>'DOE25'!G200+'DOE25'!G218+'DOE25'!G236+'DOE25'!G279+'DOE25'!G298+'DOE25'!G317</f>
        <v>4879.33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30568</v>
      </c>
      <c r="C39" s="240">
        <f>2283.96+2595.37</f>
        <v>4879.33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30568</v>
      </c>
      <c r="C40" s="231">
        <f>SUM(C37:C39)</f>
        <v>4879.33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Pittsburg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1360800.0599999998</v>
      </c>
      <c r="D5" s="20">
        <f>SUM('DOE25'!L197:L200)+SUM('DOE25'!L215:L218)+SUM('DOE25'!L233:L236)-F5-G5</f>
        <v>1326851.01</v>
      </c>
      <c r="E5" s="243"/>
      <c r="F5" s="255">
        <f>SUM('DOE25'!J197:J200)+SUM('DOE25'!J215:J218)+SUM('DOE25'!J233:J236)</f>
        <v>23243.4</v>
      </c>
      <c r="G5" s="53">
        <f>SUM('DOE25'!K197:K200)+SUM('DOE25'!K215:K218)+SUM('DOE25'!K233:K236)</f>
        <v>10705.65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218191.13</v>
      </c>
      <c r="D6" s="20">
        <f>'DOE25'!L202+'DOE25'!L220+'DOE25'!L238-F6-G6</f>
        <v>200418.73</v>
      </c>
      <c r="E6" s="243"/>
      <c r="F6" s="255">
        <f>'DOE25'!J202+'DOE25'!J220+'DOE25'!J238</f>
        <v>16160.06</v>
      </c>
      <c r="G6" s="53">
        <f>'DOE25'!K202+'DOE25'!K220+'DOE25'!K238</f>
        <v>1612.3400000000001</v>
      </c>
      <c r="H6" s="259"/>
    </row>
    <row r="7" spans="1:9" x14ac:dyDescent="0.2">
      <c r="A7" s="32">
        <v>2200</v>
      </c>
      <c r="B7" t="s">
        <v>834</v>
      </c>
      <c r="C7" s="245">
        <f t="shared" si="0"/>
        <v>93070.43</v>
      </c>
      <c r="D7" s="20">
        <f>'DOE25'!L203+'DOE25'!L221+'DOE25'!L239-F7-G7</f>
        <v>84713.239999999991</v>
      </c>
      <c r="E7" s="243"/>
      <c r="F7" s="255">
        <f>'DOE25'!J203+'DOE25'!J221+'DOE25'!J239</f>
        <v>715.19</v>
      </c>
      <c r="G7" s="53">
        <f>'DOE25'!K203+'DOE25'!K221+'DOE25'!K239</f>
        <v>7642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131481.02999999997</v>
      </c>
      <c r="D8" s="243"/>
      <c r="E8" s="20">
        <f>'DOE25'!L204+'DOE25'!L222+'DOE25'!L240-F8-G8-D9-D11</f>
        <v>127193.31999999998</v>
      </c>
      <c r="F8" s="255">
        <f>'DOE25'!J204+'DOE25'!J222+'DOE25'!J240</f>
        <v>0</v>
      </c>
      <c r="G8" s="53">
        <f>'DOE25'!K204+'DOE25'!K222+'DOE25'!K240</f>
        <v>4287.71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27905.85</v>
      </c>
      <c r="D9" s="244">
        <v>27905.85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75451</v>
      </c>
      <c r="D11" s="244">
        <v>75451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177382.51</v>
      </c>
      <c r="D12" s="20">
        <f>'DOE25'!L205+'DOE25'!L223+'DOE25'!L241-F12-G12</f>
        <v>172884.51</v>
      </c>
      <c r="E12" s="243"/>
      <c r="F12" s="255">
        <f>'DOE25'!J205+'DOE25'!J223+'DOE25'!J241</f>
        <v>0</v>
      </c>
      <c r="G12" s="53">
        <f>'DOE25'!K205+'DOE25'!K223+'DOE25'!K241</f>
        <v>4498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334370.77999999997</v>
      </c>
      <c r="D14" s="20">
        <f>'DOE25'!L207+'DOE25'!L225+'DOE25'!L243-F14-G14</f>
        <v>329632.42999999993</v>
      </c>
      <c r="E14" s="243"/>
      <c r="F14" s="255">
        <f>'DOE25'!J207+'DOE25'!J225+'DOE25'!J243</f>
        <v>3264.9</v>
      </c>
      <c r="G14" s="53">
        <f>'DOE25'!K207+'DOE25'!K225+'DOE25'!K243</f>
        <v>1473.4499999999998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175823.02</v>
      </c>
      <c r="D15" s="20">
        <f>'DOE25'!L208+'DOE25'!L226+'DOE25'!L244-F15-G15</f>
        <v>99428.099999999991</v>
      </c>
      <c r="E15" s="243"/>
      <c r="F15" s="255">
        <f>'DOE25'!J208+'DOE25'!J226+'DOE25'!J244</f>
        <v>75384</v>
      </c>
      <c r="G15" s="53">
        <f>'DOE25'!K208+'DOE25'!K226+'DOE25'!K244</f>
        <v>1010.9200000000001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7155.1</v>
      </c>
      <c r="D22" s="243"/>
      <c r="E22" s="243"/>
      <c r="F22" s="255">
        <f>'DOE25'!L255+'DOE25'!L336</f>
        <v>7155.1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43106.729999999996</v>
      </c>
      <c r="D29" s="20">
        <f>'DOE25'!L358+'DOE25'!L359+'DOE25'!L360-'DOE25'!I367-F29-G29</f>
        <v>43106.729999999996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52215.450000000004</v>
      </c>
      <c r="D31" s="20">
        <f>'DOE25'!L290+'DOE25'!L309+'DOE25'!L328+'DOE25'!L333+'DOE25'!L334+'DOE25'!L335-F31-G31</f>
        <v>46669.740000000005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5545.71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2407061.3400000003</v>
      </c>
      <c r="E33" s="246">
        <f>SUM(E5:E31)</f>
        <v>134993.31999999998</v>
      </c>
      <c r="F33" s="246">
        <f>SUM(F5:F31)</f>
        <v>125922.65000000001</v>
      </c>
      <c r="G33" s="246">
        <f>SUM(G5:G31)</f>
        <v>36775.78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134993.31999999998</v>
      </c>
      <c r="E35" s="249"/>
    </row>
    <row r="36" spans="2:8" ht="12" thickTop="1" x14ac:dyDescent="0.2">
      <c r="B36" t="s">
        <v>815</v>
      </c>
      <c r="D36" s="20">
        <f>D33</f>
        <v>2407061.3400000003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Pittsburg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364777.32</v>
      </c>
      <c r="D8" s="95">
        <f>'DOE25'!G9</f>
        <v>14278.25</v>
      </c>
      <c r="E8" s="95">
        <f>'DOE25'!H9</f>
        <v>0</v>
      </c>
      <c r="F8" s="95">
        <f>'DOE25'!I9</f>
        <v>0</v>
      </c>
      <c r="G8" s="95">
        <f>'DOE25'!J9</f>
        <v>587344.27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13020.95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42529</v>
      </c>
      <c r="D12" s="95">
        <f>'DOE25'!G13</f>
        <v>585.97</v>
      </c>
      <c r="E12" s="95">
        <f>'DOE25'!H13</f>
        <v>19953.98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824.14</v>
      </c>
      <c r="D13" s="95">
        <f>'DOE25'!G14</f>
        <v>67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1689.91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421151.41000000003</v>
      </c>
      <c r="D18" s="41">
        <f>SUM(D8:D17)</f>
        <v>16621.13</v>
      </c>
      <c r="E18" s="41">
        <f>SUM(E8:E17)</f>
        <v>19953.98</v>
      </c>
      <c r="F18" s="41">
        <f>SUM(F8:F17)</f>
        <v>0</v>
      </c>
      <c r="G18" s="41">
        <f>SUM(G8:G17)</f>
        <v>587344.27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13020.95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49586.52</v>
      </c>
      <c r="D23" s="95">
        <f>'DOE25'!G24</f>
        <v>1536.3300000000002</v>
      </c>
      <c r="E23" s="95">
        <f>'DOE25'!H24</f>
        <v>823.74</v>
      </c>
      <c r="F23" s="95">
        <f>'DOE25'!I24</f>
        <v>0</v>
      </c>
      <c r="G23" s="95">
        <f>'DOE25'!J24</f>
        <v>30000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9710.09</v>
      </c>
      <c r="D27" s="95">
        <f>'DOE25'!G28</f>
        <v>0</v>
      </c>
      <c r="E27" s="95">
        <f>'DOE25'!H28</f>
        <v>303.98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10507.060000000001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5805.31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69803.67</v>
      </c>
      <c r="D31" s="41">
        <f>SUM(D21:D30)</f>
        <v>1536.3300000000002</v>
      </c>
      <c r="E31" s="41">
        <f>SUM(E21:E30)</f>
        <v>19953.98</v>
      </c>
      <c r="F31" s="41">
        <f>SUM(F21:F30)</f>
        <v>0</v>
      </c>
      <c r="G31" s="41">
        <f>SUM(G21:G30)</f>
        <v>30000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1689.91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13394.89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 t="str">
        <f>'DOE25'!G48</f>
        <v xml:space="preserve"> </v>
      </c>
      <c r="E47" s="95">
        <f>'DOE25'!H48</f>
        <v>0</v>
      </c>
      <c r="F47" s="95">
        <f>'DOE25'!I48</f>
        <v>0</v>
      </c>
      <c r="G47" s="95">
        <f>'DOE25'!J48</f>
        <v>557344.27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736.4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350611.34000000032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351347.74000000034</v>
      </c>
      <c r="D50" s="41">
        <f>SUM(D34:D49)</f>
        <v>15084.8</v>
      </c>
      <c r="E50" s="41">
        <f>SUM(E34:E49)</f>
        <v>0</v>
      </c>
      <c r="F50" s="41">
        <f>SUM(F34:F49)</f>
        <v>0</v>
      </c>
      <c r="G50" s="41">
        <f>SUM(G34:G49)</f>
        <v>557344.27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421151.41000000032</v>
      </c>
      <c r="D51" s="41">
        <f>D50+D31</f>
        <v>16621.13</v>
      </c>
      <c r="E51" s="41">
        <f>E50+E31</f>
        <v>19953.98</v>
      </c>
      <c r="F51" s="41">
        <f>F50+F31</f>
        <v>0</v>
      </c>
      <c r="G51" s="41">
        <f>G50+G31</f>
        <v>587344.27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1600091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332259.12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193.35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1796.93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13593.62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100920.48</v>
      </c>
      <c r="D61" s="95">
        <f>SUM('DOE25'!G98:G110)</f>
        <v>0</v>
      </c>
      <c r="E61" s="95">
        <f>SUM('DOE25'!H98:H110)</f>
        <v>496.83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433372.94999999995</v>
      </c>
      <c r="D62" s="130">
        <f>SUM(D57:D61)</f>
        <v>13593.62</v>
      </c>
      <c r="E62" s="130">
        <f>SUM(E57:E61)</f>
        <v>496.83</v>
      </c>
      <c r="F62" s="130">
        <f>SUM(F57:F61)</f>
        <v>0</v>
      </c>
      <c r="G62" s="130">
        <f>SUM(G57:G61)</f>
        <v>1796.93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2033463.95</v>
      </c>
      <c r="D63" s="22">
        <f>D56+D62</f>
        <v>13593.62</v>
      </c>
      <c r="E63" s="22">
        <f>E56+E62</f>
        <v>496.83</v>
      </c>
      <c r="F63" s="22">
        <f>F56+F62</f>
        <v>0</v>
      </c>
      <c r="G63" s="22">
        <f>G56+G62</f>
        <v>1796.93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35370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582793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618163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643.85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643.85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618163</v>
      </c>
      <c r="D81" s="130">
        <f>SUM(D79:D80)+D78+D70</f>
        <v>643.85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1229.58</v>
      </c>
      <c r="D88" s="95">
        <f>SUM('DOE25'!G153:G161)</f>
        <v>19001.5</v>
      </c>
      <c r="E88" s="95">
        <f>SUM('DOE25'!H153:H161)</f>
        <v>51718.619999999995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1229.58</v>
      </c>
      <c r="D91" s="131">
        <f>SUM(D85:D90)</f>
        <v>19001.5</v>
      </c>
      <c r="E91" s="131">
        <f>SUM(E85:E90)</f>
        <v>51718.619999999995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12200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53105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53105</v>
      </c>
      <c r="D103" s="86">
        <f>SUM(D93:D102)</f>
        <v>12200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2705961.5300000003</v>
      </c>
      <c r="D104" s="86">
        <f>D63+D81+D91+D103</f>
        <v>45438.97</v>
      </c>
      <c r="E104" s="86">
        <f>E63+E81+E91+E103</f>
        <v>52215.45</v>
      </c>
      <c r="F104" s="86">
        <f>F63+F81+F91+F103</f>
        <v>0</v>
      </c>
      <c r="G104" s="86">
        <f>G63+G81+G103</f>
        <v>31796.93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1160584.96</v>
      </c>
      <c r="D109" s="24" t="s">
        <v>289</v>
      </c>
      <c r="E109" s="95">
        <f>('DOE25'!L276)+('DOE25'!L295)+('DOE25'!L314)</f>
        <v>43728.61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118599.1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81616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1360800.06</v>
      </c>
      <c r="D115" s="86">
        <f>SUM(D109:D114)</f>
        <v>0</v>
      </c>
      <c r="E115" s="86">
        <f>SUM(E109:E114)</f>
        <v>43728.61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218191.13</v>
      </c>
      <c r="D118" s="24" t="s">
        <v>289</v>
      </c>
      <c r="E118" s="95">
        <f>+('DOE25'!L281)+('DOE25'!L300)+('DOE25'!L319)</f>
        <v>3541.71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93070.43</v>
      </c>
      <c r="D119" s="24" t="s">
        <v>289</v>
      </c>
      <c r="E119" s="95">
        <f>+('DOE25'!L282)+('DOE25'!L301)+('DOE25'!L320)</f>
        <v>4445.13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234837.87999999998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177382.51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500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334370.77999999997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175823.02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43106.729999999996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1233675.75</v>
      </c>
      <c r="D128" s="86">
        <f>SUM(D118:D127)</f>
        <v>43106.729999999996</v>
      </c>
      <c r="E128" s="86">
        <f>SUM(E118:E127)</f>
        <v>8486.84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7155.1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53105</v>
      </c>
    </row>
    <row r="135" spans="1:7" x14ac:dyDescent="0.2">
      <c r="A135" t="s">
        <v>233</v>
      </c>
      <c r="B135" s="32" t="s">
        <v>234</v>
      </c>
      <c r="C135" s="95">
        <f>'DOE25'!L263</f>
        <v>12200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31796.93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-1796.9300000000003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49355.1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53105</v>
      </c>
    </row>
    <row r="145" spans="1:9" ht="12.75" thickTop="1" thickBot="1" x14ac:dyDescent="0.25">
      <c r="A145" s="33" t="s">
        <v>244</v>
      </c>
      <c r="C145" s="86">
        <f>(C115+C128+C144)</f>
        <v>2643830.91</v>
      </c>
      <c r="D145" s="86">
        <f>(D115+D128+D144)</f>
        <v>43106.729999999996</v>
      </c>
      <c r="E145" s="86">
        <f>(E115+E128+E144)</f>
        <v>52215.45</v>
      </c>
      <c r="F145" s="86">
        <f>(F115+F128+F144)</f>
        <v>0</v>
      </c>
      <c r="G145" s="86">
        <f>(G115+G128+G144)</f>
        <v>53105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Pittsburg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24335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29922</v>
      </c>
    </row>
    <row r="7" spans="1:4" x14ac:dyDescent="0.2">
      <c r="B7" t="s">
        <v>705</v>
      </c>
      <c r="C7" s="179">
        <f>IF('DOE25'!I665+'DOE25'!I670=0,0,ROUND('DOE25'!I672,0))</f>
        <v>26628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1204314</v>
      </c>
      <c r="D10" s="182">
        <f>ROUND((C10/$C$28)*100,1)</f>
        <v>45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118599</v>
      </c>
      <c r="D11" s="182">
        <f>ROUND((C11/$C$28)*100,1)</f>
        <v>4.4000000000000004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81616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221733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97516</v>
      </c>
      <c r="D16" s="182">
        <f t="shared" si="0"/>
        <v>3.6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234838</v>
      </c>
      <c r="D17" s="182">
        <f t="shared" si="0"/>
        <v>8.8000000000000007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177383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500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334371</v>
      </c>
      <c r="D20" s="182">
        <f t="shared" si="0"/>
        <v>12.5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175823</v>
      </c>
      <c r="D21" s="182">
        <f t="shared" si="0"/>
        <v>6.6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29513.379999999997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2676206.38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7155</v>
      </c>
    </row>
    <row r="30" spans="1:4" x14ac:dyDescent="0.2">
      <c r="B30" s="187" t="s">
        <v>729</v>
      </c>
      <c r="C30" s="180">
        <f>SUM(C28:C29)</f>
        <v>2683361.38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1600091</v>
      </c>
      <c r="D35" s="182">
        <f t="shared" ref="D35:D40" si="1">ROUND((C35/$C$41)*100,1)</f>
        <v>58.7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435666.7100000002</v>
      </c>
      <c r="D36" s="182">
        <f t="shared" si="1"/>
        <v>16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618163</v>
      </c>
      <c r="D37" s="182">
        <f t="shared" si="1"/>
        <v>22.7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644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71950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2726514.71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Pittsburg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 t="s">
        <v>914</v>
      </c>
      <c r="B4" s="219"/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 t="s">
        <v>915</v>
      </c>
      <c r="B5" s="219"/>
      <c r="C5" s="285" t="s">
        <v>916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11</v>
      </c>
      <c r="B6" s="219"/>
      <c r="C6" s="285" t="s">
        <v>917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2016-04-15T15:29:47Z</cp:lastPrinted>
  <dcterms:created xsi:type="dcterms:W3CDTF">1997-12-04T19:04:30Z</dcterms:created>
  <dcterms:modified xsi:type="dcterms:W3CDTF">2016-10-13T13:13:52Z</dcterms:modified>
</cp:coreProperties>
</file>