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H639" i="1" s="1"/>
  <c r="J639" i="1" s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H33" i="13"/>
  <c r="E33" i="13" l="1"/>
  <c r="D35" i="13" s="1"/>
  <c r="C16" i="13"/>
  <c r="C81" i="2"/>
  <c r="G81" i="2"/>
  <c r="C62" i="2"/>
  <c r="C63" i="2" s="1"/>
  <c r="F66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D31" i="13" l="1"/>
  <c r="C31" i="13" s="1"/>
  <c r="G104" i="2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<sst xmlns="http://schemas.openxmlformats.org/spreadsheetml/2006/main" count="3956" uniqueCount="914">
  <si>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</si>
  <si>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</si>
  <si>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</si>
  <si>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</si>
  <si>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</si>
  <si>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</si>
  <si>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</si>
  <si>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</si>
  <si>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</si>
  <si>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</si>
  <si>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</si>
  <si>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</si>
  <si>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</si>
  <si>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</si>
  <si>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</si>
  <si>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</si>
  <si>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</si>
  <si>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</si>
  <si>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</si>
  <si>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</si>
  <si>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</si>
  <si>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</si>
  <si>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</si>
  <si>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</si>
  <si>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</si>
  <si>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</si>
  <si>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</si>
  <si>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</si>
  <si>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</si>
  <si>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</si>
  <si>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</si>
  <si>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</si>
  <si>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</si>
  <si>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</si>
  <si>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</si>
  <si>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</si>
  <si>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</si>
  <si>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</si>
  <si>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</si>
  <si>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</si>
  <si>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</si>
  <si>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</si>
  <si>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</si>
  <si>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</si>
  <si>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</si>
  <si>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</si>
  <si>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</si>
  <si>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</si>
  <si>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</si>
  <si>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</si>
  <si>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</si>
  <si>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</si>
  <si>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</si>
  <si>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</si>
  <si>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</si>
  <si>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</si>
  <si>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</si>
  <si>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</si>
  <si>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</si>
  <si>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</si>
  <si>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</si>
  <si>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</si>
  <si>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</si>
  <si>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</si>
  <si>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</si>
  <si>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</si>
  <si>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</si>
  <si>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</si>
  <si>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</si>
  <si>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</si>
  <si>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</si>
  <si>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</si>
  <si>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</si>
  <si>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</si>
  <si>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</si>
  <si>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</si>
  <si>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</si>
  <si>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</si>
  <si>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</si>
  <si>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</si>
  <si>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</si>
  <si>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</si>
  <si>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</si>
  <si>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</si>
  <si>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</si>
  <si>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</si>
  <si>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</si>
  <si>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</si>
  <si>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</si>
  <si>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</si>
  <si>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</si>
  <si>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</si>
  <si>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</si>
  <si>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</si>
  <si>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</si>
  <si>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</si>
  <si>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</si>
  <si>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</si>
  <si>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</si>
  <si>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</si>
  <si>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</si>
  <si>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</si>
  <si>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</si>
  <si>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</si>
  <si>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</si>
  <si>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</si>
  <si>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</si>
  <si>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</si>
  <si>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</si>
  <si>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</si>
  <si>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</si>
  <si>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</si>
  <si>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</si>
  <si>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</si>
  <si>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</si>
  <si>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</si>
  <si>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</si>
  <si>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</si>
  <si>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</si>
  <si>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</si>
  <si>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</si>
  <si>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</si>
  <si>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</si>
  <si>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</si>
  <si>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</si>
  <si>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</si>
  <si>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</si>
  <si>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</si>
  <si>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</si>
  <si>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</si>
  <si>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</si>
  <si>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</si>
  <si>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</si>
  <si>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</si>
  <si>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</si>
  <si>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</si>
  <si>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</si>
  <si>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</si>
  <si>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</si>
  <si>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</si>
  <si>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</si>
  <si>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</si>
  <si>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</si>
  <si>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</si>
  <si>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</si>
  <si>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</si>
  <si>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</si>
  <si>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</si>
  <si>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</si>
  <si>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</si>
  <si>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</si>
  <si>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</si>
  <si>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</si>
  <si>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</si>
  <si>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</si>
  <si>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</si>
  <si>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</si>
  <si>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</si>
  <si>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</si>
  <si>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</si>
  <si>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</si>
  <si>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</si>
  <si>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</si>
  <si>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</si>
  <si>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</si>
  <si>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</si>
  <si>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</si>
  <si>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</si>
  <si>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</si>
  <si>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</si>
  <si>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</si>
  <si>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</si>
  <si>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</si>
  <si>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</si>
  <si>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</si>
  <si>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</si>
  <si>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</si>
  <si>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</si>
  <si>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</si>
  <si>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</si>
  <si>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</si>
  <si>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</si>
  <si>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</si>
  <si>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</si>
  <si>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</si>
  <si>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</si>
  <si>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</si>
  <si>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</si>
  <si>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</si>
  <si>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</si>
  <si>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</si>
  <si>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</si>
  <si>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</si>
  <si>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</si>
  <si>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</si>
  <si>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</si>
  <si>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</si>
  <si>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</si>
  <si>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</si>
  <si>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</si>
  <si>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</si>
  <si>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</si>
  <si>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</si>
  <si>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</si>
  <si>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</si>
  <si>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</si>
  <si>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</si>
  <si>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</si>
  <si>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</si>
  <si>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</si>
  <si>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</si>
  <si>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</si>
  <si>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</si>
  <si>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</si>
  <si>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</si>
  <si>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</si>
  <si>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</si>
  <si>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</si>
  <si>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</si>
  <si>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</si>
  <si>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</si>
  <si>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</si>
  <si>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</si>
  <si>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</si>
  <si>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</si>
  <si>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</si>
  <si>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</si>
  <si>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</si>
  <si>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</si>
  <si>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</si>
  <si>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</si>
  <si>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</si>
  <si>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</si>
  <si>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</si>
  <si>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</si>
  <si>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</si>
  <si>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</si>
  <si>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</si>
  <si>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</si>
  <si>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</si>
  <si>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</si>
  <si>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</si>
  <si>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</si>
  <si>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</si>
  <si>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</si>
  <si>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</si>
  <si>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</si>
  <si>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</si>
  <si>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</si>
  <si>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</si>
  <si>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</si>
  <si>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</si>
  <si>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</si>
  <si>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</si>
  <si>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</si>
  <si>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</si>
  <si>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</si>
  <si>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</si>
  <si>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</si>
  <si>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</si>
  <si>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</si>
  <si>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</si>
  <si>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</si>
  <si>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</si>
  <si>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</si>
  <si>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</si>
  <si>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</si>
  <si>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</si>
  <si>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</si>
  <si>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</si>
  <si>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</si>
  <si>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</si>
  <si>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</si>
  <si>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</si>
  <si>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</si>
  <si>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</si>
  <si>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</si>
  <si>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</si>
  <si>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</si>
  <si>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</si>
  <si>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</si>
  <si>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</si>
  <si>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</si>
  <si>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</si>
  <si>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</si>
  <si>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</si>
  <si>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</si>
  <si>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</si>
  <si>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</si>
  <si>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</si>
  <si>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</si>
  <si>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</si>
  <si>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</si>
  <si>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</si>
  <si>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</si>
  <si>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</si>
  <si>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</si>
  <si>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</si>
  <si>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</si>
  <si>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</si>
  <si>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</si>
  <si>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</si>
  <si>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</si>
  <si>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</si>
  <si>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</si>
  <si>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</si>
  <si>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</si>
  <si>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</si>
  <si>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</si>
  <si>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</si>
  <si>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</si>
  <si>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</si>
  <si>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</si>
  <si>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</si>
  <si>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</si>
  <si>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</si>
  <si>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</si>
  <si>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</si>
  <si>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</si>
  <si>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</si>
  <si>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</si>
  <si>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</si>
  <si>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</si>
  <si>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</si>
  <si>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</si>
  <si>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</si>
  <si>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</si>
  <si>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</si>
  <si>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</si>
  <si>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</si>
  <si>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</si>
  <si>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</si>
  <si>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</si>
  <si>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</si>
  <si>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</si>
  <si>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</si>
  <si>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</si>
  <si>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</si>
  <si>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</si>
  <si>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</si>
  <si>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</si>
  <si>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</si>
  <si>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</si>
  <si>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</si>
  <si>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</si>
  <si>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</si>
  <si>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</si>
  <si>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</si>
  <si>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</si>
  <si>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</si>
  <si>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</si>
  <si>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</si>
  <si>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</si>
  <si>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</si>
  <si>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</si>
  <si>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</si>
  <si>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</si>
  <si>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</si>
  <si>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</si>
  <si>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</si>
  <si>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</si>
  <si>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</si>
  <si>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</si>
  <si>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</si>
  <si>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</si>
  <si>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</si>
  <si>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</si>
  <si>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</si>
  <si>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</si>
  <si>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</si>
  <si>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</si>
  <si>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</si>
  <si>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</si>
  <si>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</si>
  <si>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</si>
  <si>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</si>
  <si>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</si>
  <si>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</si>
  <si>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</si>
  <si>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</si>
  <si>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</si>
  <si>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</si>
  <si>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</si>
  <si>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</si>
  <si>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</si>
  <si>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</si>
  <si>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</si>
  <si>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</si>
  <si>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</si>
  <si>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</si>
  <si>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</si>
  <si>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</si>
  <si>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</si>
  <si>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</si>
  <si>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</si>
  <si>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</si>
  <si>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</si>
  <si>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</si>
  <si>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</si>
  <si>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</si>
  <si>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</si>
  <si>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</si>
  <si>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</si>
  <si>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</si>
  <si>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</si>
  <si>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</si>
  <si>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</si>
  <si>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</si>
  <si>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</si>
  <si>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</si>
  <si>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</si>
  <si>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</si>
  <si>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</si>
  <si>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</si>
  <si>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</si>
  <si>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</si>
  <si>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</si>
  <si>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</si>
  <si>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</si>
  <si>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</si>
  <si>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</si>
  <si>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</si>
  <si>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</si>
  <si>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</si>
  <si>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</si>
  <si>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</si>
  <si>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</si>
  <si>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</si>
  <si>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</si>
  <si>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</si>
  <si>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</si>
  <si>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</si>
  <si>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</si>
  <si>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</si>
  <si>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</si>
  <si>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</si>
  <si>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</si>
  <si>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</si>
  <si>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</si>
  <si>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</si>
  <si>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</si>
  <si>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</si>
  <si>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</si>
  <si>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</si>
  <si>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</si>
  <si>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</si>
  <si>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</si>
  <si>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</si>
  <si>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</si>
  <si>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</si>
  <si>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</si>
  <si>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</si>
  <si>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</si>
  <si>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</si>
  <si>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</si>
  <si>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</si>
  <si>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</si>
  <si>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</si>
  <si>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</si>
  <si>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</si>
  <si>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</si>
  <si>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</si>
  <si>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</si>
  <si>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</si>
  <si>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</si>
  <si>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</si>
  <si>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</si>
  <si>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</si>
  <si>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</si>
  <si>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</si>
  <si>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</si>
  <si>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</si>
  <si>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</si>
  <si>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</si>
  <si>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</si>
  <si>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</si>
  <si>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</si>
  <si>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</si>
  <si>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</si>
  <si>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</si>
  <si>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</si>
  <si>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</si>
  <si>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</si>
  <si>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</si>
  <si>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</si>
  <si>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</si>
  <si>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</si>
  <si>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</si>
  <si>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</si>
  <si>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</si>
  <si>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</si>
  <si>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</si>
  <si>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</si>
  <si>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</si>
  <si>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</si>
  <si>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</si>
  <si>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</si>
  <si>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</si>
  <si>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</si>
  <si>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</si>
  <si>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</si>
  <si>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</si>
  <si>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</si>
  <si>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</si>
  <si>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</si>
  <si>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</si>
  <si>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</si>
  <si>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</si>
  <si>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</si>
  <si>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</si>
  <si>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</si>
  <si>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</si>
  <si>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</si>
  <si>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</si>
  <si>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</si>
  <si>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</si>
  <si>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</si>
  <si>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</si>
  <si>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</si>
  <si>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</si>
  <si>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</si>
  <si>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</si>
  <si>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</si>
  <si>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</si>
  <si>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</si>
  <si>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</si>
  <si>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</si>
  <si>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</si>
  <si>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</si>
  <si>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</si>
  <si>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</si>
  <si>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</si>
  <si>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</si>
  <si>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</si>
  <si>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</si>
  <si>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</si>
  <si>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</si>
  <si>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</si>
  <si>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</si>
  <si>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</si>
  <si>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</si>
  <si>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</si>
  <si>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</si>
  <si>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</si>
  <si>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</si>
  <si>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</si>
  <si>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</si>
  <si>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</si>
  <si>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</si>
  <si>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</si>
  <si>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</si>
  <si>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</si>
  <si>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</si>
  <si>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</si>
  <si>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</si>
  <si>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</si>
  <si>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</si>
  <si>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</si>
  <si>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</si>
  <si>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</si>
  <si>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</si>
  <si>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</si>
  <si>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</si>
  <si>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</si>
  <si>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</si>
  <si>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</si>
  <si>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</si>
  <si>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</si>
  <si>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</si>
  <si>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</si>
  <si>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</si>
  <si>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</si>
  <si>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</si>
  <si>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</si>
  <si>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</si>
  <si>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</si>
  <si>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</si>
  <si>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</si>
  <si>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</si>
  <si>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</si>
  <si>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</si>
  <si>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</si>
  <si>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</si>
  <si>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</si>
  <si>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</si>
  <si>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</si>
  <si>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</si>
  <si>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</si>
  <si>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</si>
  <si>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</si>
  <si>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</si>
  <si>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</si>
  <si>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</si>
  <si>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</si>
  <si>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</si>
  <si>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</si>
  <si>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</si>
  <si>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</si>
  <si>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</si>
  <si>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</si>
  <si>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</si>
  <si>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</si>
  <si>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</si>
  <si>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</si>
  <si>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</si>
  <si>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</si>
  <si>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</si>
  <si>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</si>
  <si>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</si>
  <si>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</si>
  <si>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</si>
  <si>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</si>
  <si>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</si>
  <si>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</si>
  <si>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</si>
  <si>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</si>
  <si>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</si>
  <si>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</si>
  <si>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</si>
  <si>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</si>
  <si>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</si>
  <si>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</si>
  <si>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</si>
  <si>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</si>
  <si>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</si>
  <si>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</si>
  <si>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</si>
  <si>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</si>
  <si>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</si>
  <si>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</si>
  <si>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</si>
  <si>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</si>
  <si>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</si>
  <si>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</si>
  <si>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</si>
  <si>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</si>
  <si>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</si>
  <si>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</si>
  <si>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</si>
  <si>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</si>
  <si>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</si>
  <si>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</si>
  <si>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</si>
  <si>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</si>
  <si>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</si>
  <si>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</si>
  <si>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</si>
  <si>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</si>
  <si>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</si>
  <si>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</si>
  <si>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</si>
  <si>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</si>
  <si>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</si>
  <si>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</si>
  <si>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</si>
  <si>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</si>
  <si>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</si>
  <si>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</si>
  <si>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</si>
  <si>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</si>
  <si>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</si>
  <si>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</si>
  <si>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</si>
  <si>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</si>
  <si>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</si>
  <si>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</si>
  <si>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</si>
  <si>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</si>
  <si>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</si>
  <si>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</si>
  <si>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</si>
  <si>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</si>
  <si>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</si>
  <si>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</si>
  <si>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</si>
  <si>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</si>
  <si>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</si>
  <si>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</si>
  <si>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</si>
  <si>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</si>
  <si>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</si>
  <si>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</si>
  <si>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</si>
  <si>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</si>
  <si>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</si>
  <si>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</si>
  <si>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</si>
  <si>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</si>
  <si>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</si>
  <si>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</si>
  <si>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</si>
  <si>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</si>
  <si>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</si>
  <si>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</si>
  <si>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</si>
  <si>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</si>
  <si>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</si>
  <si>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</si>
  <si>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</si>
  <si>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</si>
  <si>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</si>
  <si>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</si>
  <si>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</si>
  <si>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</si>
  <si>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</si>
  <si>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</si>
  <si>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</si>
  <si>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</si>
  <si>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</si>
  <si>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</si>
  <si>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</si>
  <si>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</si>
  <si>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</si>
  <si>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</si>
  <si>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</si>
  <si>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</si>
  <si>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</si>
  <si>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</si>
  <si>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</si>
  <si>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</si>
  <si>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</si>
  <si>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</si>
  <si>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</si>
  <si>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</si>
  <si>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</si>
  <si>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</si>
  <si>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</si>
  <si>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</si>
  <si>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</si>
  <si>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</si>
  <si>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</si>
  <si>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</si>
  <si>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</si>
  <si>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</si>
  <si>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</si>
  <si>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</si>
  <si>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</si>
  <si>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</si>
  <si>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</si>
  <si>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</si>
  <si>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</si>
  <si>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</si>
  <si>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</si>
  <si>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</si>
  <si>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</si>
  <si>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</si>
  <si>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</si>
  <si>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</si>
  <si>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</si>
  <si>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</si>
  <si>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</si>
  <si>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</si>
  <si>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</si>
  <si>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</si>
  <si>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</si>
  <si>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</si>
  <si>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</si>
  <si>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</si>
  <si>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</si>
  <si>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</si>
  <si>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</si>
  <si>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</si>
  <si>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</si>
  <si>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</si>
  <si>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</si>
  <si>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</si>
  <si>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</si>
  <si>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</si>
  <si>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</si>
  <si>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</si>
  <si>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</si>
  <si>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</si>
  <si>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</si>
  <si>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</si>
  <si>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</si>
  <si>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</si>
  <si>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</si>
  <si>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</si>
  <si>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</si>
  <si>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</si>
  <si>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</si>
  <si>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</si>
  <si>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</si>
  <si>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</si>
  <si>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</si>
  <si>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</si>
  <si>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</si>
  <si>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</si>
  <si>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</si>
  <si>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</si>
  <si>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</si>
  <si>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</si>
  <si>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</si>
  <si>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</si>
  <si>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</si>
  <si>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</si>
  <si>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</si>
  <si>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</si>
  <si>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</si>
  <si>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</si>
  <si>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</si>
  <si>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</si>
  <si>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</si>
  <si>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</si>
  <si>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</si>
  <si>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</si>
  <si>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</si>
  <si>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</si>
  <si>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</si>
  <si>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</si>
  <si>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</si>
  <si>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</si>
  <si>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</si>
  <si>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</si>
  <si>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</si>
  <si>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</si>
  <si>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</si>
  <si>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</si>
  <si>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</si>
  <si>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</si>
  <si>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</si>
  <si>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</si>
  <si>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</si>
  <si>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</si>
  <si>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</si>
  <si>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</si>
  <si>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</si>
  <si>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</si>
  <si>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</si>
  <si>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</si>
  <si>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</si>
  <si>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</si>
  <si>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</si>
  <si>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</si>
  <si>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</si>
  <si>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</si>
  <si>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</si>
  <si>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</si>
  <si>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</si>
  <si>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</si>
  <si>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</si>
  <si>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</si>
  <si>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</si>
  <si>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</si>
  <si>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</si>
  <si>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</si>
  <si>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</si>
  <si>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</si>
  <si>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</si>
  <si>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</si>
  <si>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</si>
  <si>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</si>
  <si>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</si>
  <si>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</si>
  <si>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</si>
  <si>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</si>
  <si>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</si>
  <si>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</si>
  <si>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</si>
  <si>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</si>
  <si>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</si>
  <si>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</si>
  <si>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</si>
  <si>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</si>
  <si>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</si>
  <si>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</si>
  <si>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</si>
  <si>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</si>
  <si>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</si>
  <si>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</si>
  <si>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</si>
  <si>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</si>
  <si>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</si>
  <si>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</si>
  <si>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</si>
  <si>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</si>
  <si>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</si>
  <si>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</si>
  <si>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</si>
  <si>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</si>
  <si>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</si>
  <si>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</si>
  <si>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</si>
  <si>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</si>
  <si>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</si>
  <si>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</si>
  <si>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</si>
  <si>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</si>
  <si>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</si>
  <si>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</si>
  <si>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</si>
  <si>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</si>
  <si>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</si>
  <si>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</si>
  <si>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</si>
  <si>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</si>
  <si>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</si>
  <si>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</si>
  <si>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</si>
  <si>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</si>
  <si>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</si>
  <si>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</si>
  <si>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</si>
  <si>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</si>
  <si>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</si>
  <si>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</si>
  <si>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</si>
  <si>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</si>
  <si>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</si>
  <si>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</si>
  <si>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</si>
  <si>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</si>
  <si>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Pittsfield</t>
  </si>
  <si>
    <t>Cancelled Accrued PO from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</si>
</sst>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439</v>
      </c>
      <c r="C2" s="21">
        <v>439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1120071.3700000001</v>
      </c>
      <c r="G9" s="18">
        <v>8239.9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198133.61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77347.179999999993</v>
      </c>
      <c r="G12" s="18"/>
      <c r="H12" s="18">
        <v>27903.8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40864.339999999997</v>
      </c>
      <c r="G13" s="18">
        <v>36808.14</v>
      </c>
      <c r="H13" s="18">
        <v>206555.7</v>
      </c>
      <c r="I13" s="18"/>
      <c r="J13" s="67">
        <f>SUM(I442)</f>
        <v>460628.57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14275.16</v>
      </c>
      <c r="G14" s="18">
        <v>19972.150000000001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8935.91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1252558.05</v>
      </c>
      <c r="G19" s="41">
        <f>SUM(G9:G18)</f>
        <v>73956.100000000006</v>
      </c>
      <c r="H19" s="41">
        <f>SUM(H9:H18)</f>
        <v>234459.5</v>
      </c>
      <c r="I19" s="41">
        <f>SUM(I9:I18)</f>
        <v>0</v>
      </c>
      <c r="J19" s="41">
        <f>SUM(J9:J18)</f>
        <v>658762.17999999993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49379.16</v>
      </c>
      <c r="G22" s="18">
        <v>66671.19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239611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445339.59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234459.5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734329.75</v>
      </c>
      <c r="G32" s="41">
        <f>SUM(G22:G31)</f>
        <v>66671.19</v>
      </c>
      <c r="H32" s="41">
        <f>SUM(H22:H31)</f>
        <v>234459.5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8935.91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198133.61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-1651</v>
      </c>
      <c r="H48" s="18"/>
      <c r="I48" s="18"/>
      <c r="J48" s="13">
        <f>SUM(I459)</f>
        <v>460628.57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518228.3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518228.3</v>
      </c>
      <c r="G51" s="41">
        <f>SUM(G35:G50)</f>
        <v>7284.91</v>
      </c>
      <c r="H51" s="41">
        <f>SUM(H35:H50)</f>
        <v>0</v>
      </c>
      <c r="I51" s="41">
        <f>SUM(I35:I50)</f>
        <v>0</v>
      </c>
      <c r="J51" s="41">
        <f>SUM(J35:J50)</f>
        <v>658762.17999999993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1252558.05</v>
      </c>
      <c r="G52" s="41">
        <f>G51+G32</f>
        <v>73956.100000000006</v>
      </c>
      <c r="H52" s="41">
        <f>H51+H32</f>
        <v>234459.5</v>
      </c>
      <c r="I52" s="41">
        <f>I51+I32</f>
        <v>0</v>
      </c>
      <c r="J52" s="41">
        <f>J51+J32</f>
        <v>658762.17999999993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4230188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4230188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191.47</v>
      </c>
      <c r="G96" s="18">
        <v>4.66</v>
      </c>
      <c r="H96" s="18"/>
      <c r="I96" s="18"/>
      <c r="J96" s="18">
        <v>4991.04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85543.44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389596.34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111682.23</v>
      </c>
      <c r="G110" s="18"/>
      <c r="H110" s="18"/>
      <c r="I110" s="18"/>
      <c r="J110" s="18">
        <v>3309.56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111873.7</v>
      </c>
      <c r="G111" s="41">
        <f>SUM(G96:G110)</f>
        <v>85548.1</v>
      </c>
      <c r="H111" s="41">
        <f>SUM(H96:H110)</f>
        <v>389596.34</v>
      </c>
      <c r="I111" s="41">
        <f>SUM(I96:I110)</f>
        <v>0</v>
      </c>
      <c r="J111" s="41">
        <f>SUM(J96:J110)</f>
        <v>8300.6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4342061.7</v>
      </c>
      <c r="G112" s="41">
        <f>G60+G111</f>
        <v>85548.1</v>
      </c>
      <c r="H112" s="41">
        <f>H60+H79+H94+H111</f>
        <v>389596.34</v>
      </c>
      <c r="I112" s="41">
        <f>I60+I111</f>
        <v>0</v>
      </c>
      <c r="J112" s="41">
        <f>J60+J111</f>
        <v>8300.6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4256824.22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527769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3763.96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4788357.18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89923.28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118882.15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6534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4106.97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215339.43</v>
      </c>
      <c r="G136" s="41">
        <f>SUM(G123:G135)</f>
        <v>4106.97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5003696.6099999994</v>
      </c>
      <c r="G140" s="41">
        <f>G121+SUM(G136:G137)</f>
        <v>4106.97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339869.06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65170.2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189301.2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167838.51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204563.85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204563.85</v>
      </c>
      <c r="G162" s="41">
        <f>SUM(G150:G161)</f>
        <v>189301.2</v>
      </c>
      <c r="H162" s="41">
        <f>SUM(H150:H161)</f>
        <v>572877.77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8125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204563.85</v>
      </c>
      <c r="G169" s="41">
        <f>G147+G162+SUM(G163:G168)</f>
        <v>189301.2</v>
      </c>
      <c r="H169" s="41">
        <f>H147+H162+SUM(H163:H168)</f>
        <v>581002.77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14857.32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5464.78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5464.78</v>
      </c>
      <c r="G183" s="41">
        <f>SUM(G179:G182)</f>
        <v>14857.32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5464.78</v>
      </c>
      <c r="G192" s="41">
        <f>G183+SUM(G188:G191)</f>
        <v>14857.32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9555786.9399999976</v>
      </c>
      <c r="G193" s="47">
        <f>G112+G140+G169+G192</f>
        <v>293813.59000000003</v>
      </c>
      <c r="H193" s="47">
        <f>H112+H140+H169+H192</f>
        <v>970599.1100000001</v>
      </c>
      <c r="I193" s="47">
        <f>I112+I140+I169+I192</f>
        <v>0</v>
      </c>
      <c r="J193" s="47">
        <f>J112+J140+J192</f>
        <v>8300.6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985882.49</v>
      </c>
      <c r="G197" s="18">
        <v>523109.47</v>
      </c>
      <c r="H197" s="18">
        <v>4693.54</v>
      </c>
      <c r="I197" s="18">
        <v>51848.37</v>
      </c>
      <c r="J197" s="18">
        <v>29.77</v>
      </c>
      <c r="K197" s="18">
        <v>4851.5</v>
      </c>
      <c r="L197" s="19">
        <f>SUM(F197:K197)</f>
        <v>1570415.1400000001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625968.4</v>
      </c>
      <c r="G198" s="18">
        <v>225111.27</v>
      </c>
      <c r="H198" s="18">
        <v>160336.16</v>
      </c>
      <c r="I198" s="18">
        <v>993.73</v>
      </c>
      <c r="J198" s="18"/>
      <c r="K198" s="18">
        <v>445</v>
      </c>
      <c r="L198" s="19">
        <f>SUM(F198:K198)</f>
        <v>1012854.56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154093.28</v>
      </c>
      <c r="G202" s="18">
        <v>99838.94</v>
      </c>
      <c r="H202" s="18">
        <v>117413.62</v>
      </c>
      <c r="I202" s="18">
        <v>5500.03</v>
      </c>
      <c r="J202" s="18"/>
      <c r="K202" s="18">
        <v>200</v>
      </c>
      <c r="L202" s="19">
        <f t="shared" ref="L202:L208" si="0">SUM(F202:K202)</f>
        <v>377045.87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48337.55</v>
      </c>
      <c r="G203" s="18">
        <v>27481.79</v>
      </c>
      <c r="H203" s="18">
        <v>15546.1</v>
      </c>
      <c r="I203" s="18">
        <v>20601.64</v>
      </c>
      <c r="J203" s="18">
        <v>24530.14</v>
      </c>
      <c r="K203" s="18">
        <v>345</v>
      </c>
      <c r="L203" s="19">
        <f t="shared" si="0"/>
        <v>136842.22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119654.75</v>
      </c>
      <c r="G204" s="18">
        <v>52962.79</v>
      </c>
      <c r="H204" s="18">
        <v>20552.88</v>
      </c>
      <c r="I204" s="18">
        <v>3877.93</v>
      </c>
      <c r="J204" s="18"/>
      <c r="K204" s="18">
        <v>3097.02</v>
      </c>
      <c r="L204" s="19">
        <f t="shared" si="0"/>
        <v>200145.37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289249.38</v>
      </c>
      <c r="G205" s="18">
        <v>116151.73</v>
      </c>
      <c r="H205" s="18">
        <v>21037.16</v>
      </c>
      <c r="I205" s="18">
        <v>6045.66</v>
      </c>
      <c r="J205" s="18"/>
      <c r="K205" s="18">
        <v>732.74</v>
      </c>
      <c r="L205" s="19">
        <f t="shared" si="0"/>
        <v>433216.66999999993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102843.46</v>
      </c>
      <c r="G207" s="18">
        <v>71496.02</v>
      </c>
      <c r="H207" s="18">
        <v>72978.55</v>
      </c>
      <c r="I207" s="18">
        <v>79506.63</v>
      </c>
      <c r="J207" s="18">
        <v>10918.85</v>
      </c>
      <c r="K207" s="18"/>
      <c r="L207" s="19">
        <f t="shared" si="0"/>
        <v>337743.51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300281.65999999997</v>
      </c>
      <c r="I208" s="18"/>
      <c r="J208" s="18"/>
      <c r="K208" s="18"/>
      <c r="L208" s="19">
        <f t="shared" si="0"/>
        <v>300281.65999999997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2326029.31</v>
      </c>
      <c r="G211" s="41">
        <f t="shared" si="1"/>
        <v>1116152.01</v>
      </c>
      <c r="H211" s="41">
        <f t="shared" si="1"/>
        <v>712839.66999999993</v>
      </c>
      <c r="I211" s="41">
        <f t="shared" si="1"/>
        <v>168373.99</v>
      </c>
      <c r="J211" s="41">
        <f t="shared" si="1"/>
        <v>35478.76</v>
      </c>
      <c r="K211" s="41">
        <f t="shared" si="1"/>
        <v>9671.26</v>
      </c>
      <c r="L211" s="41">
        <f t="shared" si="1"/>
        <v>4368545.0000000009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289556.51</v>
      </c>
      <c r="G215" s="18">
        <v>152597.13</v>
      </c>
      <c r="H215" s="18"/>
      <c r="I215" s="18">
        <v>14476.66</v>
      </c>
      <c r="J215" s="18">
        <v>33.32</v>
      </c>
      <c r="K215" s="18">
        <v>1150.8599999999999</v>
      </c>
      <c r="L215" s="19">
        <f>SUM(F215:K215)</f>
        <v>457814.48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167319.81</v>
      </c>
      <c r="G216" s="18">
        <v>72554.570000000007</v>
      </c>
      <c r="H216" s="18">
        <v>2218.52</v>
      </c>
      <c r="I216" s="18">
        <v>488.19</v>
      </c>
      <c r="J216" s="18"/>
      <c r="K216" s="18">
        <v>397.5</v>
      </c>
      <c r="L216" s="19">
        <f>SUM(F216:K216)</f>
        <v>242978.59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13607.91</v>
      </c>
      <c r="G218" s="18">
        <v>1718.02</v>
      </c>
      <c r="H218" s="18">
        <v>3950</v>
      </c>
      <c r="I218" s="18">
        <v>1429.09</v>
      </c>
      <c r="J218" s="18">
        <v>979.65</v>
      </c>
      <c r="K218" s="18">
        <v>1620.75</v>
      </c>
      <c r="L218" s="19">
        <f>SUM(F218:K218)</f>
        <v>23305.420000000002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64671.57</v>
      </c>
      <c r="G220" s="18">
        <v>31287.439999999999</v>
      </c>
      <c r="H220" s="18">
        <v>67110.05</v>
      </c>
      <c r="I220" s="18">
        <v>1613.91</v>
      </c>
      <c r="J220" s="18"/>
      <c r="K220" s="18">
        <v>35.01</v>
      </c>
      <c r="L220" s="19">
        <f t="shared" ref="L220:L226" si="2">SUM(F220:K220)</f>
        <v>164717.98000000001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30493.53</v>
      </c>
      <c r="G221" s="18">
        <v>18488.419999999998</v>
      </c>
      <c r="H221" s="18">
        <v>8812.48</v>
      </c>
      <c r="I221" s="18">
        <v>10228.219999999999</v>
      </c>
      <c r="J221" s="18">
        <v>6369.88</v>
      </c>
      <c r="K221" s="18">
        <v>235.9</v>
      </c>
      <c r="L221" s="19">
        <f t="shared" si="2"/>
        <v>74628.429999999993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33597.85</v>
      </c>
      <c r="G222" s="18">
        <v>14545.5</v>
      </c>
      <c r="H222" s="18">
        <v>5605.33</v>
      </c>
      <c r="I222" s="18">
        <v>1057.6099999999999</v>
      </c>
      <c r="J222" s="18"/>
      <c r="K222" s="18">
        <v>844.64</v>
      </c>
      <c r="L222" s="19">
        <f t="shared" si="2"/>
        <v>55650.93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78336.66</v>
      </c>
      <c r="G223" s="18">
        <v>28229.79</v>
      </c>
      <c r="H223" s="18">
        <v>9372.82</v>
      </c>
      <c r="I223" s="18">
        <v>2899.41</v>
      </c>
      <c r="J223" s="18"/>
      <c r="K223" s="18">
        <v>623.91</v>
      </c>
      <c r="L223" s="19">
        <f t="shared" si="2"/>
        <v>119462.59000000003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43012.72</v>
      </c>
      <c r="G225" s="18">
        <v>25869.439999999999</v>
      </c>
      <c r="H225" s="18">
        <v>45912.1</v>
      </c>
      <c r="I225" s="18">
        <v>48891.75</v>
      </c>
      <c r="J225" s="18">
        <v>4868.8999999999996</v>
      </c>
      <c r="K225" s="18"/>
      <c r="L225" s="19">
        <f t="shared" si="2"/>
        <v>168554.91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45383.81</v>
      </c>
      <c r="I226" s="18"/>
      <c r="J226" s="18"/>
      <c r="K226" s="18"/>
      <c r="L226" s="19">
        <f t="shared" si="2"/>
        <v>45383.81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720596.55999999994</v>
      </c>
      <c r="G229" s="41">
        <f>SUM(G215:G228)</f>
        <v>345290.31</v>
      </c>
      <c r="H229" s="41">
        <f>SUM(H215:H228)</f>
        <v>188365.11000000002</v>
      </c>
      <c r="I229" s="41">
        <f>SUM(I215:I228)</f>
        <v>81084.84</v>
      </c>
      <c r="J229" s="41">
        <f>SUM(J215:J228)</f>
        <v>12251.75</v>
      </c>
      <c r="K229" s="41">
        <f t="shared" si="3"/>
        <v>4908.57</v>
      </c>
      <c r="L229" s="41">
        <f t="shared" si="3"/>
        <v>1352497.14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783240.74</v>
      </c>
      <c r="G233" s="18">
        <v>400316.78</v>
      </c>
      <c r="H233" s="18">
        <v>72.25</v>
      </c>
      <c r="I233" s="18">
        <v>55212.77</v>
      </c>
      <c r="J233" s="18">
        <v>61.92</v>
      </c>
      <c r="K233" s="18">
        <v>4914.47</v>
      </c>
      <c r="L233" s="19">
        <f>SUM(F233:K233)</f>
        <v>1243818.93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324151.53000000003</v>
      </c>
      <c r="G234" s="18">
        <v>128553.42</v>
      </c>
      <c r="H234" s="18">
        <v>161365.88</v>
      </c>
      <c r="I234" s="18">
        <v>2719.08</v>
      </c>
      <c r="J234" s="18"/>
      <c r="K234" s="18">
        <v>492.5</v>
      </c>
      <c r="L234" s="19">
        <f>SUM(F234:K234)</f>
        <v>617282.41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18491.23</v>
      </c>
      <c r="I235" s="18"/>
      <c r="J235" s="18"/>
      <c r="K235" s="18"/>
      <c r="L235" s="19">
        <f>SUM(F235:K235)</f>
        <v>18491.23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41846.47</v>
      </c>
      <c r="G236" s="18">
        <v>5895.75</v>
      </c>
      <c r="H236" s="18">
        <v>22216</v>
      </c>
      <c r="I236" s="18">
        <v>19565.34</v>
      </c>
      <c r="J236" s="18">
        <v>1819.35</v>
      </c>
      <c r="K236" s="18">
        <v>6028.01</v>
      </c>
      <c r="L236" s="19">
        <f>SUM(F236:K236)</f>
        <v>97370.92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114669.71</v>
      </c>
      <c r="G238" s="18">
        <v>56350.57</v>
      </c>
      <c r="H238" s="18">
        <v>32247.48</v>
      </c>
      <c r="I238" s="18">
        <v>4615.97</v>
      </c>
      <c r="J238" s="18"/>
      <c r="K238" s="18">
        <v>555.99</v>
      </c>
      <c r="L238" s="19">
        <f t="shared" ref="L238:L244" si="4">SUM(F238:K238)</f>
        <v>208439.72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65505.08</v>
      </c>
      <c r="G239" s="18">
        <v>38507.160000000003</v>
      </c>
      <c r="H239" s="18">
        <v>18577.87</v>
      </c>
      <c r="I239" s="18">
        <v>22204.25</v>
      </c>
      <c r="J239" s="18">
        <v>10172.82</v>
      </c>
      <c r="K239" s="18">
        <v>537.1</v>
      </c>
      <c r="L239" s="19">
        <f t="shared" si="4"/>
        <v>155504.28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66571.460000000006</v>
      </c>
      <c r="G240" s="18">
        <v>29025.599999999999</v>
      </c>
      <c r="H240" s="18">
        <v>11210.66</v>
      </c>
      <c r="I240" s="18">
        <v>2115.23</v>
      </c>
      <c r="J240" s="18"/>
      <c r="K240" s="18">
        <v>1689.29</v>
      </c>
      <c r="L240" s="19">
        <f t="shared" si="4"/>
        <v>110612.23999999999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145189.91</v>
      </c>
      <c r="G241" s="18">
        <v>52431.81</v>
      </c>
      <c r="H241" s="18">
        <v>20447.02</v>
      </c>
      <c r="I241" s="18">
        <v>5630.86</v>
      </c>
      <c r="J241" s="18"/>
      <c r="K241" s="18">
        <v>949.07</v>
      </c>
      <c r="L241" s="19">
        <f t="shared" si="4"/>
        <v>224648.66999999998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79371.509999999995</v>
      </c>
      <c r="G243" s="18">
        <v>47595.22</v>
      </c>
      <c r="H243" s="18">
        <v>91079.56</v>
      </c>
      <c r="I243" s="18">
        <v>91406.98</v>
      </c>
      <c r="J243" s="18">
        <v>9861.08</v>
      </c>
      <c r="K243" s="18"/>
      <c r="L243" s="19">
        <f t="shared" si="4"/>
        <v>319314.34999999998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238949.3</v>
      </c>
      <c r="I244" s="18"/>
      <c r="J244" s="18"/>
      <c r="K244" s="18"/>
      <c r="L244" s="19">
        <f t="shared" si="4"/>
        <v>238949.3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1620546.41</v>
      </c>
      <c r="G247" s="41">
        <f t="shared" si="5"/>
        <v>758676.31</v>
      </c>
      <c r="H247" s="41">
        <f t="shared" si="5"/>
        <v>614657.25</v>
      </c>
      <c r="I247" s="41">
        <f t="shared" si="5"/>
        <v>203470.47999999998</v>
      </c>
      <c r="J247" s="41">
        <f t="shared" si="5"/>
        <v>21915.17</v>
      </c>
      <c r="K247" s="41">
        <f t="shared" si="5"/>
        <v>15166.43</v>
      </c>
      <c r="L247" s="41">
        <f t="shared" si="5"/>
        <v>3234432.0499999993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7000</v>
      </c>
      <c r="G250" s="18"/>
      <c r="H250" s="18"/>
      <c r="I250" s="18"/>
      <c r="J250" s="18"/>
      <c r="K250" s="18"/>
      <c r="L250" s="19">
        <f t="shared" ref="L250:L255" si="6">SUM(F250:K250)</f>
        <v>7000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7000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4674172.28</v>
      </c>
      <c r="G257" s="41">
        <f t="shared" si="8"/>
        <v>2220118.63</v>
      </c>
      <c r="H257" s="41">
        <f t="shared" si="8"/>
        <v>1515862.0299999998</v>
      </c>
      <c r="I257" s="41">
        <f t="shared" si="8"/>
        <v>452929.30999999994</v>
      </c>
      <c r="J257" s="41">
        <f t="shared" si="8"/>
        <v>69645.679999999993</v>
      </c>
      <c r="K257" s="41">
        <f t="shared" si="8"/>
        <v>29746.260000000002</v>
      </c>
      <c r="L257" s="41">
        <f t="shared" si="8"/>
        <v>8962474.1899999995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265000</v>
      </c>
      <c r="L260" s="19">
        <f>SUM(F260:K260)</f>
        <v>265000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75193.759999999995</v>
      </c>
      <c r="L261" s="19">
        <f>SUM(F261:K261)</f>
        <v>75193.759999999995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14857.32</v>
      </c>
      <c r="L263" s="19">
        <f>SUM(F263:K263)</f>
        <v>14857.32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11340</v>
      </c>
      <c r="L268" s="19">
        <f t="shared" si="9"/>
        <v>11340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366391.08</v>
      </c>
      <c r="L270" s="41">
        <f t="shared" si="9"/>
        <v>366391.08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4674172.28</v>
      </c>
      <c r="G271" s="42">
        <f t="shared" si="11"/>
        <v>2220118.63</v>
      </c>
      <c r="H271" s="42">
        <f t="shared" si="11"/>
        <v>1515862.0299999998</v>
      </c>
      <c r="I271" s="42">
        <f t="shared" si="11"/>
        <v>452929.30999999994</v>
      </c>
      <c r="J271" s="42">
        <f t="shared" si="11"/>
        <v>69645.679999999993</v>
      </c>
      <c r="K271" s="42">
        <f t="shared" si="11"/>
        <v>396137.34</v>
      </c>
      <c r="L271" s="42">
        <f t="shared" si="11"/>
        <v>9328865.2699999996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117587.04</v>
      </c>
      <c r="G276" s="18">
        <v>45721.06</v>
      </c>
      <c r="H276" s="18">
        <v>8470.36</v>
      </c>
      <c r="I276" s="18">
        <v>12687</v>
      </c>
      <c r="J276" s="18">
        <v>1490</v>
      </c>
      <c r="K276" s="18">
        <v>1064.4000000000001</v>
      </c>
      <c r="L276" s="19">
        <f>SUM(F276:K276)</f>
        <v>187019.85999999996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8894.2999999999993</v>
      </c>
      <c r="G277" s="18">
        <v>857.17</v>
      </c>
      <c r="H277" s="18">
        <v>2239.1</v>
      </c>
      <c r="I277" s="18">
        <v>2106.13</v>
      </c>
      <c r="J277" s="18">
        <v>1010.59</v>
      </c>
      <c r="K277" s="18">
        <v>200</v>
      </c>
      <c r="L277" s="19">
        <f>SUM(F277:K277)</f>
        <v>15307.29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18489.009999999998</v>
      </c>
      <c r="G279" s="18">
        <v>2840.76</v>
      </c>
      <c r="H279" s="18">
        <v>4426.12</v>
      </c>
      <c r="I279" s="18"/>
      <c r="J279" s="18"/>
      <c r="K279" s="18"/>
      <c r="L279" s="19">
        <f>SUM(F279:K279)</f>
        <v>25755.889999999996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39953.599999999999</v>
      </c>
      <c r="G281" s="18">
        <v>20942.93</v>
      </c>
      <c r="H281" s="18"/>
      <c r="I281" s="18">
        <v>929.72</v>
      </c>
      <c r="J281" s="18"/>
      <c r="K281" s="18"/>
      <c r="L281" s="19">
        <f t="shared" ref="L281:L287" si="12">SUM(F281:K281)</f>
        <v>61826.25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27128.86</v>
      </c>
      <c r="G282" s="18">
        <v>9842.9500000000007</v>
      </c>
      <c r="H282" s="18">
        <v>30746.18</v>
      </c>
      <c r="I282" s="18">
        <v>7465.23</v>
      </c>
      <c r="J282" s="18">
        <v>17290.78</v>
      </c>
      <c r="K282" s="18"/>
      <c r="L282" s="19">
        <f t="shared" si="12"/>
        <v>92473.999999999985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33500</v>
      </c>
      <c r="G284" s="18">
        <v>7781.54</v>
      </c>
      <c r="H284" s="18"/>
      <c r="I284" s="18"/>
      <c r="J284" s="18"/>
      <c r="K284" s="18"/>
      <c r="L284" s="19">
        <f t="shared" si="12"/>
        <v>41281.54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12773.28</v>
      </c>
      <c r="I287" s="18"/>
      <c r="J287" s="18"/>
      <c r="K287" s="18"/>
      <c r="L287" s="19">
        <f t="shared" si="12"/>
        <v>12773.28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245552.81</v>
      </c>
      <c r="G290" s="42">
        <f t="shared" si="13"/>
        <v>87986.409999999989</v>
      </c>
      <c r="H290" s="42">
        <f t="shared" si="13"/>
        <v>58655.040000000001</v>
      </c>
      <c r="I290" s="42">
        <f t="shared" si="13"/>
        <v>23188.080000000002</v>
      </c>
      <c r="J290" s="42">
        <f t="shared" si="13"/>
        <v>19791.37</v>
      </c>
      <c r="K290" s="42">
        <f t="shared" si="13"/>
        <v>1264.4000000000001</v>
      </c>
      <c r="L290" s="41">
        <f t="shared" si="13"/>
        <v>436438.10999999993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21551.4</v>
      </c>
      <c r="G296" s="18">
        <v>4781.8</v>
      </c>
      <c r="H296" s="18"/>
      <c r="I296" s="18">
        <v>152.75</v>
      </c>
      <c r="J296" s="18"/>
      <c r="K296" s="18"/>
      <c r="L296" s="19">
        <f>SUM(F296:K296)</f>
        <v>26485.95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22131.82</v>
      </c>
      <c r="G300" s="18">
        <v>8712.7099999999991</v>
      </c>
      <c r="H300" s="18"/>
      <c r="I300" s="18">
        <v>130</v>
      </c>
      <c r="J300" s="18"/>
      <c r="K300" s="18"/>
      <c r="L300" s="19">
        <f t="shared" ref="L300:L306" si="14">SUM(F300:K300)</f>
        <v>30974.53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11282.21</v>
      </c>
      <c r="G301" s="18">
        <v>5435.97</v>
      </c>
      <c r="H301" s="18">
        <v>3920</v>
      </c>
      <c r="I301" s="18">
        <v>140.88</v>
      </c>
      <c r="J301" s="18"/>
      <c r="K301" s="18"/>
      <c r="L301" s="19">
        <f t="shared" si="14"/>
        <v>20779.060000000001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54965.43</v>
      </c>
      <c r="G309" s="42">
        <f t="shared" si="15"/>
        <v>18930.48</v>
      </c>
      <c r="H309" s="42">
        <f t="shared" si="15"/>
        <v>3920</v>
      </c>
      <c r="I309" s="42">
        <f t="shared" si="15"/>
        <v>423.63</v>
      </c>
      <c r="J309" s="42">
        <f t="shared" si="15"/>
        <v>0</v>
      </c>
      <c r="K309" s="42">
        <f t="shared" si="15"/>
        <v>0</v>
      </c>
      <c r="L309" s="41">
        <f t="shared" si="15"/>
        <v>78239.539999999994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49405.5</v>
      </c>
      <c r="G314" s="18">
        <v>11207.9</v>
      </c>
      <c r="H314" s="18">
        <v>4721.42</v>
      </c>
      <c r="I314" s="18">
        <v>3007</v>
      </c>
      <c r="J314" s="18"/>
      <c r="K314" s="18"/>
      <c r="L314" s="19">
        <f>SUM(F314:K314)</f>
        <v>68341.820000000007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7671.75</v>
      </c>
      <c r="G315" s="18">
        <v>626.07000000000005</v>
      </c>
      <c r="H315" s="18"/>
      <c r="I315" s="18">
        <v>754.25</v>
      </c>
      <c r="J315" s="18">
        <v>1439.36</v>
      </c>
      <c r="K315" s="18"/>
      <c r="L315" s="19">
        <f>SUM(F315:K315)</f>
        <v>10491.43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10462.5</v>
      </c>
      <c r="G317" s="18">
        <v>1895.53</v>
      </c>
      <c r="H317" s="18">
        <v>4379.92</v>
      </c>
      <c r="I317" s="18">
        <v>1319.64</v>
      </c>
      <c r="J317" s="18"/>
      <c r="K317" s="18"/>
      <c r="L317" s="19">
        <f>SUM(F317:K317)</f>
        <v>18057.59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15272.51</v>
      </c>
      <c r="G319" s="18">
        <v>7270.58</v>
      </c>
      <c r="H319" s="18">
        <v>8344.75</v>
      </c>
      <c r="I319" s="18">
        <v>604.94000000000005</v>
      </c>
      <c r="J319" s="18"/>
      <c r="K319" s="18"/>
      <c r="L319" s="19">
        <f t="shared" ref="L319:L325" si="16">SUM(F319:K319)</f>
        <v>31492.78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77511.94</v>
      </c>
      <c r="G320" s="18">
        <v>41838.410000000003</v>
      </c>
      <c r="H320" s="18">
        <v>120862.77</v>
      </c>
      <c r="I320" s="18">
        <v>14816.14</v>
      </c>
      <c r="J320" s="18">
        <v>3240</v>
      </c>
      <c r="K320" s="18"/>
      <c r="L320" s="19">
        <f t="shared" si="16"/>
        <v>258269.26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816</v>
      </c>
      <c r="G321" s="18">
        <v>62.42</v>
      </c>
      <c r="H321" s="18"/>
      <c r="I321" s="18"/>
      <c r="J321" s="18"/>
      <c r="K321" s="18"/>
      <c r="L321" s="19">
        <f t="shared" si="16"/>
        <v>878.42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46576.68</v>
      </c>
      <c r="G322" s="18">
        <v>3633.78</v>
      </c>
      <c r="H322" s="18"/>
      <c r="I322" s="18"/>
      <c r="J322" s="18"/>
      <c r="K322" s="18"/>
      <c r="L322" s="19">
        <f t="shared" si="16"/>
        <v>50210.46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12714.92</v>
      </c>
      <c r="I325" s="18"/>
      <c r="J325" s="18"/>
      <c r="K325" s="18"/>
      <c r="L325" s="19">
        <f t="shared" si="16"/>
        <v>12714.92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207716.88</v>
      </c>
      <c r="G328" s="42">
        <f t="shared" si="17"/>
        <v>66534.69</v>
      </c>
      <c r="H328" s="42">
        <f t="shared" si="17"/>
        <v>151023.78000000003</v>
      </c>
      <c r="I328" s="42">
        <f t="shared" si="17"/>
        <v>20501.97</v>
      </c>
      <c r="J328" s="42">
        <f t="shared" si="17"/>
        <v>4679.3599999999997</v>
      </c>
      <c r="K328" s="42">
        <f t="shared" si="17"/>
        <v>0</v>
      </c>
      <c r="L328" s="41">
        <f t="shared" si="17"/>
        <v>450456.68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508235.12</v>
      </c>
      <c r="G338" s="41">
        <f t="shared" si="20"/>
        <v>173451.58</v>
      </c>
      <c r="H338" s="41">
        <f t="shared" si="20"/>
        <v>213598.82000000004</v>
      </c>
      <c r="I338" s="41">
        <f t="shared" si="20"/>
        <v>44113.680000000008</v>
      </c>
      <c r="J338" s="41">
        <f t="shared" si="20"/>
        <v>24470.73</v>
      </c>
      <c r="K338" s="41">
        <f t="shared" si="20"/>
        <v>1264.4000000000001</v>
      </c>
      <c r="L338" s="41">
        <f t="shared" si="20"/>
        <v>965134.32999999984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5464.78</v>
      </c>
      <c r="L344" s="19">
        <f t="shared" ref="L344:L350" si="21">SUM(F344:K344)</f>
        <v>5464.78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5464.78</v>
      </c>
      <c r="L351" s="41">
        <f>SUM(L341:L350)</f>
        <v>5464.78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508235.12</v>
      </c>
      <c r="G352" s="41">
        <f>G338</f>
        <v>173451.58</v>
      </c>
      <c r="H352" s="41">
        <f>H338</f>
        <v>213598.82000000004</v>
      </c>
      <c r="I352" s="41">
        <f>I338</f>
        <v>44113.680000000008</v>
      </c>
      <c r="J352" s="41">
        <f>J338</f>
        <v>24470.73</v>
      </c>
      <c r="K352" s="47">
        <f>K338+K351</f>
        <v>6729.18</v>
      </c>
      <c r="L352" s="41">
        <f>L338+L351</f>
        <v>970599.10999999987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122128.41</v>
      </c>
      <c r="I358" s="18">
        <v>7316.52</v>
      </c>
      <c r="J358" s="18"/>
      <c r="K358" s="18"/>
      <c r="L358" s="13">
        <f>SUM(F358:K358)</f>
        <v>129444.93000000001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48831.75</v>
      </c>
      <c r="I359" s="18">
        <v>2438.6</v>
      </c>
      <c r="J359" s="18"/>
      <c r="K359" s="18"/>
      <c r="L359" s="19">
        <f>SUM(F359:K359)</f>
        <v>51270.35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100327.34</v>
      </c>
      <c r="I360" s="18">
        <v>5486.06</v>
      </c>
      <c r="J360" s="18"/>
      <c r="K360" s="18"/>
      <c r="L360" s="19">
        <f>SUM(F360:K360)</f>
        <v>105813.4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271287.5</v>
      </c>
      <c r="I362" s="47">
        <f t="shared" si="22"/>
        <v>15241.18</v>
      </c>
      <c r="J362" s="47">
        <f t="shared" si="22"/>
        <v>0</v>
      </c>
      <c r="K362" s="47">
        <f t="shared" si="22"/>
        <v>0</v>
      </c>
      <c r="L362" s="47">
        <f t="shared" si="22"/>
        <v>286528.68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6824.1</v>
      </c>
      <c r="G367" s="18">
        <v>2729.63</v>
      </c>
      <c r="H367" s="18">
        <v>5610.91</v>
      </c>
      <c r="I367" s="56">
        <f>SUM(F367:H367)</f>
        <v>15164.64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34.46</v>
      </c>
      <c r="G368" s="63">
        <v>13.77</v>
      </c>
      <c r="H368" s="63">
        <v>28.31</v>
      </c>
      <c r="I368" s="56">
        <f>SUM(F368:H368)</f>
        <v>76.540000000000006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6858.56</v>
      </c>
      <c r="G369" s="47">
        <f>SUM(G367:G368)</f>
        <v>2743.4</v>
      </c>
      <c r="H369" s="47">
        <f>SUM(H367:H368)</f>
        <v>5639.22</v>
      </c>
      <c r="I369" s="47">
        <f>SUM(I367:I368)</f>
        <v>15241.18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32.14</v>
      </c>
      <c r="I391" s="18"/>
      <c r="J391" s="24" t="s">
        <v>289</v>
      </c>
      <c r="K391" s="24" t="s">
        <v>289</v>
      </c>
      <c r="L391" s="56">
        <f t="shared" si="25"/>
        <v>32.14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32.14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32.14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382.62</v>
      </c>
      <c r="I396" s="18"/>
      <c r="J396" s="24" t="s">
        <v>289</v>
      </c>
      <c r="K396" s="24" t="s">
        <v>289</v>
      </c>
      <c r="L396" s="56">
        <f t="shared" si="26"/>
        <v>382.62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435.26</v>
      </c>
      <c r="I397" s="18"/>
      <c r="J397" s="24" t="s">
        <v>289</v>
      </c>
      <c r="K397" s="24" t="s">
        <v>289</v>
      </c>
      <c r="L397" s="56">
        <f t="shared" si="26"/>
        <v>435.26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>
        <v>7714.46</v>
      </c>
      <c r="J400" s="24" t="s">
        <v>289</v>
      </c>
      <c r="K400" s="24" t="s">
        <v>289</v>
      </c>
      <c r="L400" s="56">
        <f t="shared" si="26"/>
        <v>7714.46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817.88</v>
      </c>
      <c r="I401" s="47">
        <f>SUM(I395:I400)</f>
        <v>7714.46</v>
      </c>
      <c r="J401" s="45" t="s">
        <v>289</v>
      </c>
      <c r="K401" s="45" t="s">
        <v>289</v>
      </c>
      <c r="L401" s="47">
        <f>SUM(L395:L400)</f>
        <v>8532.34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4141.0200000000004</v>
      </c>
      <c r="I403" s="18">
        <v>-4404.8999999999996</v>
      </c>
      <c r="J403" s="24" t="s">
        <v>289</v>
      </c>
      <c r="K403" s="24" t="s">
        <v>289</v>
      </c>
      <c r="L403" s="56">
        <f>SUM(F403:K403)</f>
        <v>-263.8799999999992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4141.0200000000004</v>
      </c>
      <c r="I407" s="47">
        <f>SUM(I403:I406)</f>
        <v>-4404.8999999999996</v>
      </c>
      <c r="J407" s="49" t="s">
        <v>289</v>
      </c>
      <c r="K407" s="49" t="s">
        <v>289</v>
      </c>
      <c r="L407" s="47">
        <f>SUM(L403:L406)</f>
        <v>-263.8799999999992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4991.0400000000009</v>
      </c>
      <c r="I408" s="47">
        <f>I393+I401+I407</f>
        <v>3309.5600000000004</v>
      </c>
      <c r="J408" s="24" t="s">
        <v>289</v>
      </c>
      <c r="K408" s="24" t="s">
        <v>289</v>
      </c>
      <c r="L408" s="47">
        <f>L393+L401+L407</f>
        <v>8300.6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8749.58</v>
      </c>
      <c r="I426" s="18"/>
      <c r="J426" s="18"/>
      <c r="K426" s="18">
        <v>7714.46</v>
      </c>
      <c r="L426" s="56">
        <f t="shared" si="29"/>
        <v>16464.04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8749.58</v>
      </c>
      <c r="I427" s="47">
        <f t="shared" si="30"/>
        <v>0</v>
      </c>
      <c r="J427" s="47">
        <f t="shared" si="30"/>
        <v>0</v>
      </c>
      <c r="K427" s="47">
        <f t="shared" si="30"/>
        <v>7714.46</v>
      </c>
      <c r="L427" s="47">
        <f t="shared" si="30"/>
        <v>16464.04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>
        <v>4011.57</v>
      </c>
      <c r="J429" s="18"/>
      <c r="K429" s="18"/>
      <c r="L429" s="56">
        <f>SUM(F429:K429)</f>
        <v>4011.57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4011.57</v>
      </c>
      <c r="J433" s="47">
        <f t="shared" si="31"/>
        <v>0</v>
      </c>
      <c r="K433" s="47">
        <f t="shared" si="31"/>
        <v>0</v>
      </c>
      <c r="L433" s="47">
        <f t="shared" si="31"/>
        <v>4011.57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8749.58</v>
      </c>
      <c r="I434" s="47">
        <f t="shared" si="32"/>
        <v>4011.57</v>
      </c>
      <c r="J434" s="47">
        <f t="shared" si="32"/>
        <v>0</v>
      </c>
      <c r="K434" s="47">
        <f t="shared" si="32"/>
        <v>7714.46</v>
      </c>
      <c r="L434" s="47">
        <f t="shared" si="32"/>
        <v>20475.61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198133.61</v>
      </c>
      <c r="I440" s="56">
        <f t="shared" si="33"/>
        <v>198133.61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16666.990000000002</v>
      </c>
      <c r="G442" s="18">
        <v>443961.58</v>
      </c>
      <c r="H442" s="18"/>
      <c r="I442" s="56">
        <f t="shared" si="33"/>
        <v>460628.57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16666.990000000002</v>
      </c>
      <c r="G446" s="13">
        <f>SUM(G439:G445)</f>
        <v>443961.58</v>
      </c>
      <c r="H446" s="13">
        <f>SUM(H439:H445)</f>
        <v>198133.61</v>
      </c>
      <c r="I446" s="13">
        <f>SUM(I439:I445)</f>
        <v>658762.17999999993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198133.61</v>
      </c>
      <c r="I457" s="56">
        <f t="shared" si="34"/>
        <v>198133.61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16666.990000000002</v>
      </c>
      <c r="G459" s="18">
        <v>443961.58</v>
      </c>
      <c r="H459" s="18"/>
      <c r="I459" s="56">
        <f t="shared" si="34"/>
        <v>460628.57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16666.990000000002</v>
      </c>
      <c r="G460" s="83">
        <f>SUM(G454:G459)</f>
        <v>443961.58</v>
      </c>
      <c r="H460" s="83">
        <f>SUM(H454:H459)</f>
        <v>198133.61</v>
      </c>
      <c r="I460" s="83">
        <f>SUM(I454:I459)</f>
        <v>658762.17999999993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16666.990000000002</v>
      </c>
      <c r="G461" s="42">
        <f>G452+G460</f>
        <v>443961.58</v>
      </c>
      <c r="H461" s="42">
        <f>H452+H460</f>
        <v>198133.61</v>
      </c>
      <c r="I461" s="42">
        <f>I452+I460</f>
        <v>658762.17999999993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291306.63</v>
      </c>
      <c r="G465" s="18">
        <v>0</v>
      </c>
      <c r="H465" s="18">
        <v>0</v>
      </c>
      <c r="I465" s="18">
        <v>0</v>
      </c>
      <c r="J465" s="18">
        <v>664137.18999999994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9555786.9399999976</v>
      </c>
      <c r="G468" s="18">
        <v>293813.59000000003</v>
      </c>
      <c r="H468" s="18">
        <v>970599.1100000001</v>
      </c>
      <c r="I468" s="18"/>
      <c r="J468" s="18">
        <v>8300.6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6800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9555786.9399999976</v>
      </c>
      <c r="G470" s="53">
        <f>SUM(G468:G469)</f>
        <v>293813.59000000003</v>
      </c>
      <c r="H470" s="53">
        <f>SUM(H468:H469)</f>
        <v>970599.1100000001</v>
      </c>
      <c r="I470" s="53">
        <f>SUM(I468:I469)</f>
        <v>0</v>
      </c>
      <c r="J470" s="53">
        <f>SUM(J468:J469)</f>
        <v>15100.6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9328865.2699999996</v>
      </c>
      <c r="G472" s="18">
        <v>286528.68</v>
      </c>
      <c r="H472" s="18">
        <v>970599.10999999987</v>
      </c>
      <c r="I472" s="18"/>
      <c r="J472" s="18">
        <v>20475.61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9328865.2699999996</v>
      </c>
      <c r="G474" s="53">
        <f>SUM(G472:G473)</f>
        <v>286528.68</v>
      </c>
      <c r="H474" s="53">
        <f>SUM(H472:H473)</f>
        <v>970599.10999999987</v>
      </c>
      <c r="I474" s="53">
        <f>SUM(I472:I473)</f>
        <v>0</v>
      </c>
      <c r="J474" s="53">
        <f>SUM(J472:J473)</f>
        <v>20475.61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518228.29999999888</v>
      </c>
      <c r="G476" s="53">
        <f>(G465+G470)- G474</f>
        <v>7284.9100000000326</v>
      </c>
      <c r="H476" s="53">
        <f>(H465+H470)- H474</f>
        <v>0</v>
      </c>
      <c r="I476" s="53">
        <f>(I465+I470)- I474</f>
        <v>0</v>
      </c>
      <c r="J476" s="53">
        <f>(J465+J470)- J474</f>
        <v>658762.17999999993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5300000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5.58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1325000</v>
      </c>
      <c r="G495" s="18"/>
      <c r="H495" s="18"/>
      <c r="I495" s="18"/>
      <c r="J495" s="18"/>
      <c r="K495" s="53">
        <f>SUM(F495:J495)</f>
        <v>1325000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265000</v>
      </c>
      <c r="G497" s="18"/>
      <c r="H497" s="18"/>
      <c r="I497" s="18"/>
      <c r="J497" s="18"/>
      <c r="K497" s="53">
        <f t="shared" si="35"/>
        <v>265000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1060000</v>
      </c>
      <c r="G498" s="204"/>
      <c r="H498" s="204"/>
      <c r="I498" s="204"/>
      <c r="J498" s="204"/>
      <c r="K498" s="205">
        <f t="shared" si="35"/>
        <v>1060000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151381.26</v>
      </c>
      <c r="G499" s="18"/>
      <c r="H499" s="18"/>
      <c r="I499" s="18"/>
      <c r="J499" s="18"/>
      <c r="K499" s="53">
        <f t="shared" si="35"/>
        <v>151381.26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1211381.26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1211381.26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265000</v>
      </c>
      <c r="G501" s="204"/>
      <c r="H501" s="204"/>
      <c r="I501" s="204"/>
      <c r="J501" s="204"/>
      <c r="K501" s="205">
        <f t="shared" si="35"/>
        <v>265000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60287.5</v>
      </c>
      <c r="G502" s="18"/>
      <c r="H502" s="18"/>
      <c r="I502" s="18"/>
      <c r="J502" s="18"/>
      <c r="K502" s="53">
        <f t="shared" si="35"/>
        <v>60287.5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325287.5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325287.5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622159.64</v>
      </c>
      <c r="G521" s="18">
        <v>218373.45</v>
      </c>
      <c r="H521" s="18">
        <v>171676.16</v>
      </c>
      <c r="I521" s="18">
        <v>1876.73</v>
      </c>
      <c r="J521" s="18"/>
      <c r="K521" s="18">
        <v>445</v>
      </c>
      <c r="L521" s="88">
        <f>SUM(F521:K521)</f>
        <v>1014530.9800000001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188585.65</v>
      </c>
      <c r="G522" s="18">
        <v>75499.460000000006</v>
      </c>
      <c r="H522" s="18">
        <v>2218.52</v>
      </c>
      <c r="I522" s="18">
        <v>640.94000000000005</v>
      </c>
      <c r="J522" s="18"/>
      <c r="K522" s="18">
        <v>397.5</v>
      </c>
      <c r="L522" s="88">
        <f>SUM(F522:K522)</f>
        <v>267342.07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331961.73</v>
      </c>
      <c r="G523" s="18">
        <v>125420.66</v>
      </c>
      <c r="H523" s="18">
        <v>161365.88</v>
      </c>
      <c r="I523" s="18">
        <v>3083.33</v>
      </c>
      <c r="J523" s="18"/>
      <c r="K523" s="18">
        <v>492.5</v>
      </c>
      <c r="L523" s="88">
        <f>SUM(F523:K523)</f>
        <v>622324.1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1142707.02</v>
      </c>
      <c r="G524" s="108">
        <f t="shared" ref="G524:L524" si="36">SUM(G521:G523)</f>
        <v>419293.57000000007</v>
      </c>
      <c r="H524" s="108">
        <f t="shared" si="36"/>
        <v>335260.56</v>
      </c>
      <c r="I524" s="108">
        <f t="shared" si="36"/>
        <v>5601</v>
      </c>
      <c r="J524" s="108">
        <f t="shared" si="36"/>
        <v>0</v>
      </c>
      <c r="K524" s="108">
        <f t="shared" si="36"/>
        <v>1335</v>
      </c>
      <c r="L524" s="89">
        <f t="shared" si="36"/>
        <v>1904197.15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102379.58</v>
      </c>
      <c r="G526" s="18">
        <v>53438.7</v>
      </c>
      <c r="H526" s="18">
        <v>114902.36</v>
      </c>
      <c r="I526" s="18">
        <v>3302.66</v>
      </c>
      <c r="J526" s="18"/>
      <c r="K526" s="18"/>
      <c r="L526" s="88">
        <f>SUM(F526:K526)</f>
        <v>274023.3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12036.9</v>
      </c>
      <c r="G527" s="18">
        <v>5480.18</v>
      </c>
      <c r="H527" s="18">
        <v>57789.71</v>
      </c>
      <c r="I527" s="18">
        <v>747.5</v>
      </c>
      <c r="J527" s="18"/>
      <c r="K527" s="18"/>
      <c r="L527" s="88">
        <f>SUM(F527:K527)</f>
        <v>76054.290000000008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14796.13</v>
      </c>
      <c r="G528" s="18">
        <v>7340.83</v>
      </c>
      <c r="H528" s="18">
        <v>12074.99</v>
      </c>
      <c r="I528" s="18">
        <v>387.96</v>
      </c>
      <c r="J528" s="18"/>
      <c r="K528" s="18"/>
      <c r="L528" s="88">
        <f>SUM(F528:K528)</f>
        <v>34599.909999999996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129212.61</v>
      </c>
      <c r="G529" s="89">
        <f t="shared" ref="G529:L529" si="37">SUM(G526:G528)</f>
        <v>66259.709999999992</v>
      </c>
      <c r="H529" s="89">
        <f t="shared" si="37"/>
        <v>184767.06</v>
      </c>
      <c r="I529" s="89">
        <f t="shared" si="37"/>
        <v>4438.12</v>
      </c>
      <c r="J529" s="89">
        <f t="shared" si="37"/>
        <v>0</v>
      </c>
      <c r="K529" s="89">
        <f t="shared" si="37"/>
        <v>0</v>
      </c>
      <c r="L529" s="89">
        <f t="shared" si="37"/>
        <v>384677.49999999994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38250</v>
      </c>
      <c r="G531" s="18">
        <v>17527.07</v>
      </c>
      <c r="H531" s="18"/>
      <c r="I531" s="18"/>
      <c r="J531" s="18"/>
      <c r="K531" s="18"/>
      <c r="L531" s="88">
        <f>SUM(F531:K531)</f>
        <v>55777.07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13387.5</v>
      </c>
      <c r="G532" s="18">
        <v>6134.48</v>
      </c>
      <c r="H532" s="18"/>
      <c r="I532" s="18"/>
      <c r="J532" s="18"/>
      <c r="K532" s="18"/>
      <c r="L532" s="88">
        <f>SUM(F532:K532)</f>
        <v>19521.98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24862.5</v>
      </c>
      <c r="G533" s="18">
        <v>11392.6</v>
      </c>
      <c r="H533" s="18"/>
      <c r="I533" s="18"/>
      <c r="J533" s="18"/>
      <c r="K533" s="18"/>
      <c r="L533" s="88">
        <f>SUM(F533:K533)</f>
        <v>36255.1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76500</v>
      </c>
      <c r="G534" s="89">
        <f t="shared" ref="G534:L534" si="38">SUM(G531:G533)</f>
        <v>35054.15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111554.15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1162</v>
      </c>
      <c r="I536" s="18"/>
      <c r="J536" s="18"/>
      <c r="K536" s="18"/>
      <c r="L536" s="88">
        <f>SUM(F536:K536)</f>
        <v>1162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406.7</v>
      </c>
      <c r="I537" s="18"/>
      <c r="J537" s="18"/>
      <c r="K537" s="18"/>
      <c r="L537" s="88">
        <f>SUM(F537:K537)</f>
        <v>406.7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755.3</v>
      </c>
      <c r="I538" s="18"/>
      <c r="J538" s="18"/>
      <c r="K538" s="18"/>
      <c r="L538" s="88">
        <f>SUM(F538:K538)</f>
        <v>755.3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2324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2324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171772.25</v>
      </c>
      <c r="I541" s="18"/>
      <c r="J541" s="18"/>
      <c r="K541" s="18"/>
      <c r="L541" s="88">
        <f>SUM(F541:K541)</f>
        <v>171772.25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8727.49</v>
      </c>
      <c r="I542" s="18"/>
      <c r="J542" s="18"/>
      <c r="K542" s="18"/>
      <c r="L542" s="88">
        <f>SUM(F542:K542)</f>
        <v>8727.49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122115.91</v>
      </c>
      <c r="I543" s="18"/>
      <c r="J543" s="18"/>
      <c r="K543" s="18"/>
      <c r="L543" s="88">
        <f>SUM(F543:K543)</f>
        <v>122115.91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302615.65000000002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302615.65000000002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1348419.6300000001</v>
      </c>
      <c r="G545" s="89">
        <f t="shared" ref="G545:L545" si="41">G524+G529+G534+G539+G544</f>
        <v>520607.43000000005</v>
      </c>
      <c r="H545" s="89">
        <f t="shared" si="41"/>
        <v>824967.27</v>
      </c>
      <c r="I545" s="89">
        <f t="shared" si="41"/>
        <v>10039.119999999999</v>
      </c>
      <c r="J545" s="89">
        <f t="shared" si="41"/>
        <v>0</v>
      </c>
      <c r="K545" s="89">
        <f t="shared" si="41"/>
        <v>1335</v>
      </c>
      <c r="L545" s="89">
        <f t="shared" si="41"/>
        <v>2705368.4499999997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1014530.9800000001</v>
      </c>
      <c r="G549" s="87">
        <f>L526</f>
        <v>274023.3</v>
      </c>
      <c r="H549" s="87">
        <f>L531</f>
        <v>55777.07</v>
      </c>
      <c r="I549" s="87">
        <f>L536</f>
        <v>1162</v>
      </c>
      <c r="J549" s="87">
        <f>L541</f>
        <v>171772.25</v>
      </c>
      <c r="K549" s="87">
        <f>SUM(F549:J549)</f>
        <v>1517265.6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267342.07</v>
      </c>
      <c r="G550" s="87">
        <f>L527</f>
        <v>76054.290000000008</v>
      </c>
      <c r="H550" s="87">
        <f>L532</f>
        <v>19521.98</v>
      </c>
      <c r="I550" s="87">
        <f>L537</f>
        <v>406.7</v>
      </c>
      <c r="J550" s="87">
        <f>L542</f>
        <v>8727.49</v>
      </c>
      <c r="K550" s="87">
        <f>SUM(F550:J550)</f>
        <v>372052.52999999997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622324.1</v>
      </c>
      <c r="G551" s="87">
        <f>L528</f>
        <v>34599.909999999996</v>
      </c>
      <c r="H551" s="87">
        <f>L533</f>
        <v>36255.1</v>
      </c>
      <c r="I551" s="87">
        <f>L538</f>
        <v>755.3</v>
      </c>
      <c r="J551" s="87">
        <f>L543</f>
        <v>122115.91</v>
      </c>
      <c r="K551" s="87">
        <f>SUM(F551:J551)</f>
        <v>816050.32000000007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1904197.15</v>
      </c>
      <c r="G552" s="89">
        <f t="shared" si="42"/>
        <v>384677.49999999994</v>
      </c>
      <c r="H552" s="89">
        <f t="shared" si="42"/>
        <v>111554.15</v>
      </c>
      <c r="I552" s="89">
        <f t="shared" si="42"/>
        <v>2324</v>
      </c>
      <c r="J552" s="89">
        <f t="shared" si="42"/>
        <v>302615.65000000002</v>
      </c>
      <c r="K552" s="89">
        <f t="shared" si="42"/>
        <v>2705368.45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12850.16</v>
      </c>
      <c r="G562" s="18">
        <v>1019.59</v>
      </c>
      <c r="H562" s="18"/>
      <c r="I562" s="18"/>
      <c r="J562" s="18"/>
      <c r="K562" s="18"/>
      <c r="L562" s="88">
        <f>SUM(F562:K562)</f>
        <v>13869.75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12850.16</v>
      </c>
      <c r="G565" s="89">
        <f t="shared" si="44"/>
        <v>1019.59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13869.75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12850.16</v>
      </c>
      <c r="G571" s="89">
        <f t="shared" ref="G571:L571" si="46">G560+G565+G570</f>
        <v>1019.59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13869.75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151960.44</v>
      </c>
      <c r="G582" s="18"/>
      <c r="H582" s="18">
        <v>151992.9</v>
      </c>
      <c r="I582" s="87">
        <f t="shared" si="47"/>
        <v>303953.33999999997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18491.23</v>
      </c>
      <c r="I584" s="87">
        <f t="shared" si="47"/>
        <v>18491.23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127211.81</v>
      </c>
      <c r="I591" s="18">
        <v>33151.19</v>
      </c>
      <c r="J591" s="18">
        <v>68735.78</v>
      </c>
      <c r="K591" s="104">
        <f t="shared" ref="K591:K597" si="48">SUM(H591:J591)</f>
        <v>229098.78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171772.25</v>
      </c>
      <c r="I592" s="18">
        <v>8727.49</v>
      </c>
      <c r="J592" s="18">
        <v>122115.91</v>
      </c>
      <c r="K592" s="104">
        <f t="shared" si="48"/>
        <v>302615.65000000002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28800</v>
      </c>
      <c r="K593" s="104">
        <f t="shared" si="48"/>
        <v>28800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3094.73</v>
      </c>
      <c r="J594" s="18">
        <v>16524.669999999998</v>
      </c>
      <c r="K594" s="104">
        <f t="shared" si="48"/>
        <v>19619.399999999998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1297.5999999999999</v>
      </c>
      <c r="I595" s="18">
        <v>410.4</v>
      </c>
      <c r="J595" s="18">
        <v>2772.94</v>
      </c>
      <c r="K595" s="104">
        <f t="shared" si="48"/>
        <v>4480.9400000000005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300281.65999999997</v>
      </c>
      <c r="I598" s="108">
        <f>SUM(I591:I597)</f>
        <v>45383.810000000005</v>
      </c>
      <c r="J598" s="108">
        <f>SUM(J591:J597)</f>
        <v>238949.3</v>
      </c>
      <c r="K598" s="108">
        <f>SUM(K591:K597)</f>
        <v>584614.77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55270.13</v>
      </c>
      <c r="I604" s="18">
        <v>12251.75</v>
      </c>
      <c r="J604" s="18">
        <v>26594.53</v>
      </c>
      <c r="K604" s="104">
        <f>SUM(H604:J604)</f>
        <v>94116.41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55270.13</v>
      </c>
      <c r="I605" s="108">
        <f>SUM(I602:I604)</f>
        <v>12251.75</v>
      </c>
      <c r="J605" s="108">
        <f>SUM(J602:J604)</f>
        <v>26594.53</v>
      </c>
      <c r="K605" s="108">
        <f>SUM(K602:K604)</f>
        <v>94116.41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1252558.05</v>
      </c>
      <c r="H617" s="109">
        <f>SUM(F52)</f>
        <v>1252558.05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73956.100000000006</v>
      </c>
      <c r="H618" s="109">
        <f>SUM(G52)</f>
        <v>73956.100000000006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234459.5</v>
      </c>
      <c r="H619" s="109">
        <f>SUM(H52)</f>
        <v>234459.5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658762.17999999993</v>
      </c>
      <c r="H621" s="109">
        <f>SUM(J52)</f>
        <v>658762.17999999993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518228.3</v>
      </c>
      <c r="H622" s="109">
        <f>F476</f>
        <v>518228.29999999888</v>
      </c>
      <c r="I622" s="121" t="s">
        <v>101</v>
      </c>
      <c r="J622" s="109">
        <f t="shared" ref="J622:J655" si="50">G622-H622</f>
        <v>1.1059455573558807E-9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7284.91</v>
      </c>
      <c r="H623" s="109">
        <f>G476</f>
        <v>7284.9100000000326</v>
      </c>
      <c r="I623" s="121" t="s">
        <v>102</v>
      </c>
      <c r="J623" s="109">
        <f t="shared" si="50"/>
        <v>-3.2741809263825417E-11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658762.17999999993</v>
      </c>
      <c r="H626" s="109">
        <f>J476</f>
        <v>658762.17999999993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9555786.9399999976</v>
      </c>
      <c r="H627" s="104">
        <f>SUM(F468)</f>
        <v>9555786.9399999976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293813.59000000003</v>
      </c>
      <c r="H628" s="104">
        <f>SUM(G468)</f>
        <v>293813.59000000003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970599.1100000001</v>
      </c>
      <c r="H629" s="104">
        <f>SUM(H468)</f>
        <v>970599.1100000001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8300.6</v>
      </c>
      <c r="H631" s="104">
        <f>SUM(J468)</f>
        <v>8300.6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9328865.2699999996</v>
      </c>
      <c r="H632" s="104">
        <f>SUM(F472)</f>
        <v>9328865.2699999996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970599.10999999987</v>
      </c>
      <c r="H633" s="104">
        <f>SUM(H472)</f>
        <v>970599.10999999987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15241.18</v>
      </c>
      <c r="H634" s="104">
        <f>I369</f>
        <v>15241.18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286528.68</v>
      </c>
      <c r="H635" s="104">
        <f>SUM(G472)</f>
        <v>286528.68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8300.6</v>
      </c>
      <c r="H637" s="164">
        <f>SUM(J468)</f>
        <v>8300.6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20475.61</v>
      </c>
      <c r="H638" s="164">
        <f>SUM(J472)</f>
        <v>20475.61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16666.990000000002</v>
      </c>
      <c r="H639" s="104">
        <f>SUM(F461)</f>
        <v>16666.990000000002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443961.58</v>
      </c>
      <c r="H640" s="104">
        <f>SUM(G461)</f>
        <v>443961.58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198133.61</v>
      </c>
      <c r="H641" s="104">
        <f>SUM(H461)</f>
        <v>198133.61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658762.17999999993</v>
      </c>
      <c r="H642" s="104">
        <f>SUM(I461)</f>
        <v>658762.17999999993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4991.04</v>
      </c>
      <c r="H644" s="104">
        <f>H408</f>
        <v>4991.0400000000009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8300.6</v>
      </c>
      <c r="H646" s="104">
        <f>L408</f>
        <v>8300.6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584614.77</v>
      </c>
      <c r="H647" s="104">
        <f>L208+L226+L244</f>
        <v>584614.77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94116.41</v>
      </c>
      <c r="H648" s="104">
        <f>(J257+J338)-(J255+J336)</f>
        <v>94116.409999999989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300281.65999999997</v>
      </c>
      <c r="H649" s="104">
        <f>H598</f>
        <v>300281.65999999997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45383.81</v>
      </c>
      <c r="H650" s="104">
        <f>I598</f>
        <v>45383.810000000005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238949.3</v>
      </c>
      <c r="H651" s="104">
        <f>J598</f>
        <v>238949.3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14857.32</v>
      </c>
      <c r="H652" s="104">
        <f>K263+K345</f>
        <v>14857.32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4934428.040000001</v>
      </c>
      <c r="G660" s="19">
        <f>(L229+L309+L359)</f>
        <v>1482007.03</v>
      </c>
      <c r="H660" s="19">
        <f>(L247+L328+L360)</f>
        <v>3790702.1299999994</v>
      </c>
      <c r="I660" s="19">
        <f>SUM(F660:H660)</f>
        <v>10207137.200000001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38645.920550638075</v>
      </c>
      <c r="G661" s="19">
        <f>(L359/IF(SUM(L358:L360)=0,1,SUM(L358:L360))*(SUM(G97:G110)))</f>
        <v>15306.817136085645</v>
      </c>
      <c r="H661" s="19">
        <f>(L360/IF(SUM(L358:L360)=0,1,SUM(L358:L360))*(SUM(G97:G110)))</f>
        <v>31590.702313276284</v>
      </c>
      <c r="I661" s="19">
        <f>SUM(F661:H661)</f>
        <v>85543.44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313054.94</v>
      </c>
      <c r="G662" s="19">
        <f>(L226+L306)-(J226+J306)</f>
        <v>45383.81</v>
      </c>
      <c r="H662" s="19">
        <f>(L244+L325)-(J244+J325)</f>
        <v>251664.22</v>
      </c>
      <c r="I662" s="19">
        <f>SUM(F662:H662)</f>
        <v>610102.97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207230.57</v>
      </c>
      <c r="G663" s="199">
        <f>SUM(G575:G587)+SUM(I602:I604)+L612</f>
        <v>12251.75</v>
      </c>
      <c r="H663" s="199">
        <f>SUM(H575:H587)+SUM(J602:J604)+L613</f>
        <v>197078.66</v>
      </c>
      <c r="I663" s="19">
        <f>SUM(F663:H663)</f>
        <v>416560.98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4375496.6094493624</v>
      </c>
      <c r="G664" s="19">
        <f>G660-SUM(G661:G663)</f>
        <v>1409064.6528639144</v>
      </c>
      <c r="H664" s="19">
        <f>H660-SUM(H661:H663)</f>
        <v>3310368.5476867231</v>
      </c>
      <c r="I664" s="19">
        <f>I660-SUM(I661:I663)</f>
        <v>9094929.8100000005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297.18</v>
      </c>
      <c r="G665" s="248">
        <v>86.75</v>
      </c>
      <c r="H665" s="248">
        <v>152.34</v>
      </c>
      <c r="I665" s="19">
        <f>SUM(F665:H665)</f>
        <v>536.27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14723.39</v>
      </c>
      <c r="G667" s="19">
        <f>ROUND(G664/G665,2)</f>
        <v>16242.82</v>
      </c>
      <c r="H667" s="19">
        <f>ROUND(H664/H665,2)</f>
        <v>21730.13</v>
      </c>
      <c r="I667" s="19">
        <f>ROUND(I664/I665,2)</f>
        <v>16959.61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-2.5</v>
      </c>
      <c r="I670" s="19">
        <f>SUM(F670:H670)</f>
        <v>-2.5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14723.39</v>
      </c>
      <c r="G672" s="19">
        <f>ROUND((G664+G669)/(G665+G670),2)</f>
        <v>16242.82</v>
      </c>
      <c r="H672" s="19">
        <f>ROUND((H664+H669)/(H665+H670),2)</f>
        <v>22092.69</v>
      </c>
      <c r="I672" s="19">
        <f>ROUND((I664+I669)/(I665+I670),2)</f>
        <v>17039.04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Pittsfield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2225672.2799999998</v>
      </c>
      <c r="C9" s="229">
        <f>'DOE25'!G197+'DOE25'!G215+'DOE25'!G233+'DOE25'!G276+'DOE25'!G295+'DOE25'!G314</f>
        <v>1132952.3399999999</v>
      </c>
    </row>
    <row r="10" spans="1:3" x14ac:dyDescent="0.2">
      <c r="A10" t="s">
        <v>779</v>
      </c>
      <c r="B10" s="240">
        <v>2035855.01</v>
      </c>
      <c r="C10" s="240">
        <v>1101099.48</v>
      </c>
    </row>
    <row r="11" spans="1:3" x14ac:dyDescent="0.2">
      <c r="A11" t="s">
        <v>780</v>
      </c>
      <c r="B11" s="240">
        <v>117432.31</v>
      </c>
      <c r="C11" s="240">
        <v>26108.04</v>
      </c>
    </row>
    <row r="12" spans="1:3" x14ac:dyDescent="0.2">
      <c r="A12" t="s">
        <v>781</v>
      </c>
      <c r="B12" s="240">
        <v>72384.960000000006</v>
      </c>
      <c r="C12" s="240">
        <v>5744.82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2225672.2799999998</v>
      </c>
      <c r="C13" s="231">
        <f>SUM(C10:C12)</f>
        <v>1132952.3400000001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1155557.19</v>
      </c>
      <c r="C18" s="229">
        <f>'DOE25'!G198+'DOE25'!G216+'DOE25'!G234+'DOE25'!G277+'DOE25'!G296+'DOE25'!G315</f>
        <v>432484.29999999993</v>
      </c>
    </row>
    <row r="19" spans="1:3" x14ac:dyDescent="0.2">
      <c r="A19" t="s">
        <v>779</v>
      </c>
      <c r="B19" s="240">
        <v>551610.43999999994</v>
      </c>
      <c r="C19" s="240">
        <v>307404.98</v>
      </c>
    </row>
    <row r="20" spans="1:3" x14ac:dyDescent="0.2">
      <c r="A20" t="s">
        <v>780</v>
      </c>
      <c r="B20" s="240">
        <v>587596.35</v>
      </c>
      <c r="C20" s="240">
        <v>122009.58</v>
      </c>
    </row>
    <row r="21" spans="1:3" x14ac:dyDescent="0.2">
      <c r="A21" t="s">
        <v>781</v>
      </c>
      <c r="B21" s="240">
        <v>16350.4</v>
      </c>
      <c r="C21" s="240">
        <v>3069.74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1155557.19</v>
      </c>
      <c r="C22" s="231">
        <f>SUM(C19:C21)</f>
        <v>432484.3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84405.89</v>
      </c>
      <c r="C36" s="235">
        <f>'DOE25'!G200+'DOE25'!G218+'DOE25'!G236+'DOE25'!G279+'DOE25'!G298+'DOE25'!G317</f>
        <v>12350.060000000001</v>
      </c>
    </row>
    <row r="37" spans="1:3" x14ac:dyDescent="0.2">
      <c r="A37" t="s">
        <v>779</v>
      </c>
      <c r="B37" s="240">
        <v>34599.75</v>
      </c>
      <c r="C37" s="240">
        <v>7213.14</v>
      </c>
    </row>
    <row r="38" spans="1:3" x14ac:dyDescent="0.2">
      <c r="A38" t="s">
        <v>780</v>
      </c>
      <c r="B38" s="240">
        <v>8106.14</v>
      </c>
      <c r="C38" s="240">
        <v>1526.79</v>
      </c>
    </row>
    <row r="39" spans="1:3" x14ac:dyDescent="0.2">
      <c r="A39" t="s">
        <v>781</v>
      </c>
      <c r="B39" s="240">
        <v>41700</v>
      </c>
      <c r="C39" s="240">
        <v>3610.13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84405.89</v>
      </c>
      <c r="C40" s="231">
        <f>SUM(C37:C39)</f>
        <v>12350.060000000001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Pittsfield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5284331.68</v>
      </c>
      <c r="D5" s="20">
        <f>SUM('DOE25'!L197:L200)+SUM('DOE25'!L215:L218)+SUM('DOE25'!L233:L236)-F5-G5</f>
        <v>5261507.08</v>
      </c>
      <c r="E5" s="243"/>
      <c r="F5" s="255">
        <f>SUM('DOE25'!J197:J200)+SUM('DOE25'!J215:J218)+SUM('DOE25'!J233:J236)</f>
        <v>2924.01</v>
      </c>
      <c r="G5" s="53">
        <f>SUM('DOE25'!K197:K200)+SUM('DOE25'!K215:K218)+SUM('DOE25'!K233:K236)</f>
        <v>19900.59</v>
      </c>
      <c r="H5" s="259"/>
    </row>
    <row r="6" spans="1:9" x14ac:dyDescent="0.2">
      <c r="A6" s="32">
        <v>2100</v>
      </c>
      <c r="B6" t="s">
        <v>801</v>
      </c>
      <c r="C6" s="245">
        <f t="shared" si="0"/>
        <v>750203.57</v>
      </c>
      <c r="D6" s="20">
        <f>'DOE25'!L202+'DOE25'!L220+'DOE25'!L238-F6-G6</f>
        <v>749412.57</v>
      </c>
      <c r="E6" s="243"/>
      <c r="F6" s="255">
        <f>'DOE25'!J202+'DOE25'!J220+'DOE25'!J238</f>
        <v>0</v>
      </c>
      <c r="G6" s="53">
        <f>'DOE25'!K202+'DOE25'!K220+'DOE25'!K238</f>
        <v>791</v>
      </c>
      <c r="H6" s="259"/>
    </row>
    <row r="7" spans="1:9" x14ac:dyDescent="0.2">
      <c r="A7" s="32">
        <v>2200</v>
      </c>
      <c r="B7" t="s">
        <v>834</v>
      </c>
      <c r="C7" s="245">
        <f t="shared" si="0"/>
        <v>366974.92999999993</v>
      </c>
      <c r="D7" s="20">
        <f>'DOE25'!L203+'DOE25'!L221+'DOE25'!L239-F7-G7</f>
        <v>324784.08999999997</v>
      </c>
      <c r="E7" s="243"/>
      <c r="F7" s="255">
        <f>'DOE25'!J203+'DOE25'!J221+'DOE25'!J239</f>
        <v>41072.839999999997</v>
      </c>
      <c r="G7" s="53">
        <f>'DOE25'!K203+'DOE25'!K221+'DOE25'!K239</f>
        <v>1118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136744.45000000001</v>
      </c>
      <c r="D8" s="243"/>
      <c r="E8" s="20">
        <f>'DOE25'!L204+'DOE25'!L222+'DOE25'!L240-F8-G8-D9-D11</f>
        <v>131113.5</v>
      </c>
      <c r="F8" s="255">
        <f>'DOE25'!J204+'DOE25'!J222+'DOE25'!J240</f>
        <v>0</v>
      </c>
      <c r="G8" s="53">
        <f>'DOE25'!K204+'DOE25'!K222+'DOE25'!K240</f>
        <v>5630.95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24405.22</v>
      </c>
      <c r="D9" s="244">
        <v>24405.22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6339.61</v>
      </c>
      <c r="D10" s="243"/>
      <c r="E10" s="244">
        <v>6339.61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205258.87</v>
      </c>
      <c r="D11" s="244">
        <v>205258.87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777327.92999999993</v>
      </c>
      <c r="D12" s="20">
        <f>'DOE25'!L205+'DOE25'!L223+'DOE25'!L241-F12-G12</f>
        <v>775022.21</v>
      </c>
      <c r="E12" s="243"/>
      <c r="F12" s="255">
        <f>'DOE25'!J205+'DOE25'!J223+'DOE25'!J241</f>
        <v>0</v>
      </c>
      <c r="G12" s="53">
        <f>'DOE25'!K205+'DOE25'!K223+'DOE25'!K241</f>
        <v>2305.7200000000003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825612.77</v>
      </c>
      <c r="D14" s="20">
        <f>'DOE25'!L207+'DOE25'!L225+'DOE25'!L243-F14-G14</f>
        <v>799963.94000000006</v>
      </c>
      <c r="E14" s="243"/>
      <c r="F14" s="255">
        <f>'DOE25'!J207+'DOE25'!J225+'DOE25'!J243</f>
        <v>25648.83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584614.77</v>
      </c>
      <c r="D15" s="20">
        <f>'DOE25'!L208+'DOE25'!L226+'DOE25'!L244-F15-G15</f>
        <v>584614.77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340193.76</v>
      </c>
      <c r="D25" s="243"/>
      <c r="E25" s="243"/>
      <c r="F25" s="258"/>
      <c r="G25" s="256"/>
      <c r="H25" s="257">
        <f>'DOE25'!L260+'DOE25'!L261+'DOE25'!L341+'DOE25'!L342</f>
        <v>340193.76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271364.03999999998</v>
      </c>
      <c r="D29" s="20">
        <f>'DOE25'!L358+'DOE25'!L359+'DOE25'!L360-'DOE25'!I367-F29-G29</f>
        <v>271364.03999999998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965134.32999999984</v>
      </c>
      <c r="D31" s="20">
        <f>'DOE25'!L290+'DOE25'!L309+'DOE25'!L328+'DOE25'!L333+'DOE25'!L334+'DOE25'!L335-F31-G31</f>
        <v>939399.19999999984</v>
      </c>
      <c r="E31" s="243"/>
      <c r="F31" s="255">
        <f>'DOE25'!J290+'DOE25'!J309+'DOE25'!J328+'DOE25'!J333+'DOE25'!J334+'DOE25'!J335</f>
        <v>24470.73</v>
      </c>
      <c r="G31" s="53">
        <f>'DOE25'!K290+'DOE25'!K309+'DOE25'!K328+'DOE25'!K333+'DOE25'!K334+'DOE25'!K335</f>
        <v>1264.4000000000001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9935731.9899999984</v>
      </c>
      <c r="E33" s="246">
        <f>SUM(E5:E31)</f>
        <v>137453.10999999999</v>
      </c>
      <c r="F33" s="246">
        <f>SUM(F5:F31)</f>
        <v>94116.409999999989</v>
      </c>
      <c r="G33" s="246">
        <f>SUM(G5:G31)</f>
        <v>31010.660000000003</v>
      </c>
      <c r="H33" s="246">
        <f>SUM(H5:H31)</f>
        <v>340193.76</v>
      </c>
    </row>
    <row r="35" spans="2:8" ht="12" thickBot="1" x14ac:dyDescent="0.25">
      <c r="B35" s="253" t="s">
        <v>847</v>
      </c>
      <c r="D35" s="254">
        <f>E33</f>
        <v>137453.10999999999</v>
      </c>
      <c r="E35" s="249"/>
    </row>
    <row r="36" spans="2:8" ht="12" thickTop="1" x14ac:dyDescent="0.2">
      <c r="B36" t="s">
        <v>815</v>
      </c>
      <c r="D36" s="20">
        <f>D33</f>
        <v>9935731.9899999984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Pittsfield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1120071.3700000001</v>
      </c>
      <c r="D8" s="95">
        <f>'DOE25'!G9</f>
        <v>8239.9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198133.61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77347.179999999993</v>
      </c>
      <c r="D11" s="95">
        <f>'DOE25'!G12</f>
        <v>0</v>
      </c>
      <c r="E11" s="95">
        <f>'DOE25'!H12</f>
        <v>27903.8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40864.339999999997</v>
      </c>
      <c r="D12" s="95">
        <f>'DOE25'!G13</f>
        <v>36808.14</v>
      </c>
      <c r="E12" s="95">
        <f>'DOE25'!H13</f>
        <v>206555.7</v>
      </c>
      <c r="F12" s="95">
        <f>'DOE25'!I13</f>
        <v>0</v>
      </c>
      <c r="G12" s="95">
        <f>'DOE25'!J13</f>
        <v>460628.57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14275.16</v>
      </c>
      <c r="D13" s="95">
        <f>'DOE25'!G14</f>
        <v>19972.150000000001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8935.91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1252558.05</v>
      </c>
      <c r="D18" s="41">
        <f>SUM(D8:D17)</f>
        <v>73956.100000000006</v>
      </c>
      <c r="E18" s="41">
        <f>SUM(E8:E17)</f>
        <v>234459.5</v>
      </c>
      <c r="F18" s="41">
        <f>SUM(F8:F17)</f>
        <v>0</v>
      </c>
      <c r="G18" s="41">
        <f>SUM(G8:G17)</f>
        <v>658762.17999999993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49379.16</v>
      </c>
      <c r="D21" s="95">
        <f>'DOE25'!G22</f>
        <v>66671.19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239611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445339.59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234459.5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734329.75</v>
      </c>
      <c r="D31" s="41">
        <f>SUM(D21:D30)</f>
        <v>66671.19</v>
      </c>
      <c r="E31" s="41">
        <f>SUM(E21:E30)</f>
        <v>234459.5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8935.91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198133.61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-1651</v>
      </c>
      <c r="E47" s="95">
        <f>'DOE25'!H48</f>
        <v>0</v>
      </c>
      <c r="F47" s="95">
        <f>'DOE25'!I48</f>
        <v>0</v>
      </c>
      <c r="G47" s="95">
        <f>'DOE25'!J48</f>
        <v>460628.57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518228.3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518228.3</v>
      </c>
      <c r="D50" s="41">
        <f>SUM(D34:D49)</f>
        <v>7284.91</v>
      </c>
      <c r="E50" s="41">
        <f>SUM(E34:E49)</f>
        <v>0</v>
      </c>
      <c r="F50" s="41">
        <f>SUM(F34:F49)</f>
        <v>0</v>
      </c>
      <c r="G50" s="41">
        <f>SUM(G34:G49)</f>
        <v>658762.17999999993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1252558.05</v>
      </c>
      <c r="D51" s="41">
        <f>D50+D31</f>
        <v>73956.100000000006</v>
      </c>
      <c r="E51" s="41">
        <f>E50+E31</f>
        <v>234459.5</v>
      </c>
      <c r="F51" s="41">
        <f>F50+F31</f>
        <v>0</v>
      </c>
      <c r="G51" s="41">
        <f>G50+G31</f>
        <v>658762.17999999993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4230188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191.47</v>
      </c>
      <c r="D59" s="95">
        <f>'DOE25'!G96</f>
        <v>4.66</v>
      </c>
      <c r="E59" s="95">
        <f>'DOE25'!H96</f>
        <v>0</v>
      </c>
      <c r="F59" s="95">
        <f>'DOE25'!I96</f>
        <v>0</v>
      </c>
      <c r="G59" s="95">
        <f>'DOE25'!J96</f>
        <v>4991.04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85543.44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111682.23</v>
      </c>
      <c r="D61" s="95">
        <f>SUM('DOE25'!G98:G110)</f>
        <v>0</v>
      </c>
      <c r="E61" s="95">
        <f>SUM('DOE25'!H98:H110)</f>
        <v>389596.34</v>
      </c>
      <c r="F61" s="95">
        <f>SUM('DOE25'!I98:I110)</f>
        <v>0</v>
      </c>
      <c r="G61" s="95">
        <f>SUM('DOE25'!J98:J110)</f>
        <v>3309.56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111873.7</v>
      </c>
      <c r="D62" s="130">
        <f>SUM(D57:D61)</f>
        <v>85548.1</v>
      </c>
      <c r="E62" s="130">
        <f>SUM(E57:E61)</f>
        <v>389596.34</v>
      </c>
      <c r="F62" s="130">
        <f>SUM(F57:F61)</f>
        <v>0</v>
      </c>
      <c r="G62" s="130">
        <f>SUM(G57:G61)</f>
        <v>8300.6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4342061.7</v>
      </c>
      <c r="D63" s="22">
        <f>D56+D62</f>
        <v>85548.1</v>
      </c>
      <c r="E63" s="22">
        <f>E56+E62</f>
        <v>389596.34</v>
      </c>
      <c r="F63" s="22">
        <f>F56+F62</f>
        <v>0</v>
      </c>
      <c r="G63" s="22">
        <f>G56+G62</f>
        <v>8300.6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4256824.22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527769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3763.96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4788357.18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89923.28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118882.15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6534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4106.97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215339.43</v>
      </c>
      <c r="D78" s="130">
        <f>SUM(D72:D77)</f>
        <v>4106.97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5003696.6099999994</v>
      </c>
      <c r="D81" s="130">
        <f>SUM(D79:D80)+D78+D70</f>
        <v>4106.97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204563.85</v>
      </c>
      <c r="D88" s="95">
        <f>SUM('DOE25'!G153:G161)</f>
        <v>189301.2</v>
      </c>
      <c r="E88" s="95">
        <f>SUM('DOE25'!H153:H161)</f>
        <v>572877.77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8125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204563.85</v>
      </c>
      <c r="D91" s="131">
        <f>SUM(D85:D90)</f>
        <v>189301.2</v>
      </c>
      <c r="E91" s="131">
        <f>SUM(E85:E90)</f>
        <v>581002.77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14857.32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5464.78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5464.78</v>
      </c>
      <c r="D103" s="86">
        <f>SUM(D93:D102)</f>
        <v>14857.32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9555786.9399999976</v>
      </c>
      <c r="D104" s="86">
        <f>D63+D81+D91+D103</f>
        <v>293813.59000000003</v>
      </c>
      <c r="E104" s="86">
        <f>E63+E81+E91+E103</f>
        <v>970599.1100000001</v>
      </c>
      <c r="F104" s="86">
        <f>F63+F81+F91+F103</f>
        <v>0</v>
      </c>
      <c r="G104" s="86">
        <f>G63+G81+G103</f>
        <v>8300.6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3272048.55</v>
      </c>
      <c r="D109" s="24" t="s">
        <v>289</v>
      </c>
      <c r="E109" s="95">
        <f>('DOE25'!L276)+('DOE25'!L295)+('DOE25'!L314)</f>
        <v>255361.67999999996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1873115.56</v>
      </c>
      <c r="D110" s="24" t="s">
        <v>289</v>
      </c>
      <c r="E110" s="95">
        <f>('DOE25'!L277)+('DOE25'!L296)+('DOE25'!L315)</f>
        <v>52284.670000000006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18491.23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120676.34</v>
      </c>
      <c r="D112" s="24" t="s">
        <v>289</v>
      </c>
      <c r="E112" s="95">
        <f>+('DOE25'!L279)+('DOE25'!L298)+('DOE25'!L317)</f>
        <v>43813.479999999996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7000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5291331.68</v>
      </c>
      <c r="D115" s="86">
        <f>SUM(D109:D114)</f>
        <v>0</v>
      </c>
      <c r="E115" s="86">
        <f>SUM(E109:E114)</f>
        <v>351459.82999999996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750203.57</v>
      </c>
      <c r="D118" s="24" t="s">
        <v>289</v>
      </c>
      <c r="E118" s="95">
        <f>+('DOE25'!L281)+('DOE25'!L300)+('DOE25'!L319)</f>
        <v>124293.56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366974.93</v>
      </c>
      <c r="D119" s="24" t="s">
        <v>289</v>
      </c>
      <c r="E119" s="95">
        <f>+('DOE25'!L282)+('DOE25'!L301)+('DOE25'!L320)</f>
        <v>371522.32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366408.54</v>
      </c>
      <c r="D120" s="24" t="s">
        <v>289</v>
      </c>
      <c r="E120" s="95">
        <f>+('DOE25'!L283)+('DOE25'!L302)+('DOE25'!L321)</f>
        <v>878.42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777327.92999999993</v>
      </c>
      <c r="D121" s="24" t="s">
        <v>289</v>
      </c>
      <c r="E121" s="95">
        <f>+('DOE25'!L284)+('DOE25'!L303)+('DOE25'!L322)</f>
        <v>91492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825612.77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584614.77</v>
      </c>
      <c r="D124" s="24" t="s">
        <v>289</v>
      </c>
      <c r="E124" s="95">
        <f>+('DOE25'!L287)+('DOE25'!L306)+('DOE25'!L325)</f>
        <v>25488.2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286528.68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3671142.51</v>
      </c>
      <c r="D128" s="86">
        <f>SUM(D118:D127)</f>
        <v>286528.68</v>
      </c>
      <c r="E128" s="86">
        <f>SUM(E118:E127)</f>
        <v>613674.5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265000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75193.759999999995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5464.78</v>
      </c>
      <c r="F134" s="95">
        <f>'DOE25'!K381</f>
        <v>0</v>
      </c>
      <c r="G134" s="95">
        <f>'DOE25'!K434</f>
        <v>7714.46</v>
      </c>
    </row>
    <row r="135" spans="1:7" x14ac:dyDescent="0.2">
      <c r="A135" t="s">
        <v>233</v>
      </c>
      <c r="B135" s="32" t="s">
        <v>234</v>
      </c>
      <c r="C135" s="95">
        <f>'DOE25'!L263</f>
        <v>14857.32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32.14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8532.34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-263.8799999999992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-8300.6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11340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366391.08000000007</v>
      </c>
      <c r="D144" s="141">
        <f>SUM(D130:D143)</f>
        <v>0</v>
      </c>
      <c r="E144" s="141">
        <f>SUM(E130:E143)</f>
        <v>5464.78</v>
      </c>
      <c r="F144" s="141">
        <f>SUM(F130:F143)</f>
        <v>0</v>
      </c>
      <c r="G144" s="141">
        <f>SUM(G130:G143)</f>
        <v>7714.46</v>
      </c>
    </row>
    <row r="145" spans="1:9" ht="12.75" thickTop="1" thickBot="1" x14ac:dyDescent="0.25">
      <c r="A145" s="33" t="s">
        <v>244</v>
      </c>
      <c r="C145" s="86">
        <f>(C115+C128+C144)</f>
        <v>9328865.2699999996</v>
      </c>
      <c r="D145" s="86">
        <f>(D115+D128+D144)</f>
        <v>286528.68</v>
      </c>
      <c r="E145" s="86">
        <f>(E115+E128+E144)</f>
        <v>970599.11</v>
      </c>
      <c r="F145" s="86">
        <f>(F115+F128+F144)</f>
        <v>0</v>
      </c>
      <c r="G145" s="86">
        <f>(G115+G128+G144)</f>
        <v>7714.46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5300000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5.58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1325000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265000</v>
      </c>
    </row>
    <row r="159" spans="1:9" x14ac:dyDescent="0.2">
      <c r="A159" s="22" t="s">
        <v>35</v>
      </c>
      <c r="B159" s="137">
        <f>'DOE25'!F498</f>
        <v>1060000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1060000</v>
      </c>
    </row>
    <row r="160" spans="1:9" x14ac:dyDescent="0.2">
      <c r="A160" s="22" t="s">
        <v>36</v>
      </c>
      <c r="B160" s="137">
        <f>'DOE25'!F499</f>
        <v>151381.26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151381.26</v>
      </c>
    </row>
    <row r="161" spans="1:7" x14ac:dyDescent="0.2">
      <c r="A161" s="22" t="s">
        <v>37</v>
      </c>
      <c r="B161" s="137">
        <f>'DOE25'!F500</f>
        <v>1211381.26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1211381.26</v>
      </c>
    </row>
    <row r="162" spans="1:7" x14ac:dyDescent="0.2">
      <c r="A162" s="22" t="s">
        <v>38</v>
      </c>
      <c r="B162" s="137">
        <f>'DOE25'!F501</f>
        <v>265000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265000</v>
      </c>
    </row>
    <row r="163" spans="1:7" x14ac:dyDescent="0.2">
      <c r="A163" s="22" t="s">
        <v>39</v>
      </c>
      <c r="B163" s="137">
        <f>'DOE25'!F502</f>
        <v>60287.5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60287.5</v>
      </c>
    </row>
    <row r="164" spans="1:7" x14ac:dyDescent="0.2">
      <c r="A164" s="22" t="s">
        <v>246</v>
      </c>
      <c r="B164" s="137">
        <f>'DOE25'!F503</f>
        <v>325287.5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325287.5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Pittsfield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14723</v>
      </c>
    </row>
    <row r="5" spans="1:4" x14ac:dyDescent="0.2">
      <c r="B5" t="s">
        <v>704</v>
      </c>
      <c r="C5" s="179">
        <f>IF('DOE25'!G665+'DOE25'!G670=0,0,ROUND('DOE25'!G672,0))</f>
        <v>16243</v>
      </c>
    </row>
    <row r="6" spans="1:4" x14ac:dyDescent="0.2">
      <c r="B6" t="s">
        <v>62</v>
      </c>
      <c r="C6" s="179">
        <f>IF('DOE25'!H665+'DOE25'!H670=0,0,ROUND('DOE25'!H672,0))</f>
        <v>22093</v>
      </c>
    </row>
    <row r="7" spans="1:4" x14ac:dyDescent="0.2">
      <c r="B7" t="s">
        <v>705</v>
      </c>
      <c r="C7" s="179">
        <f>IF('DOE25'!I665+'DOE25'!I670=0,0,ROUND('DOE25'!I672,0))</f>
        <v>17039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3527410</v>
      </c>
      <c r="D10" s="182">
        <f>ROUND((C10/$C$28)*100,1)</f>
        <v>34.5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1925400</v>
      </c>
      <c r="D11" s="182">
        <f>ROUND((C11/$C$28)*100,1)</f>
        <v>18.8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18491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164490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874497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738497</v>
      </c>
      <c r="D16" s="182">
        <f t="shared" si="0"/>
        <v>7.2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367287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868820</v>
      </c>
      <c r="D18" s="182">
        <f t="shared" si="0"/>
        <v>8.5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825613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610103</v>
      </c>
      <c r="D21" s="182">
        <f t="shared" si="0"/>
        <v>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7000</v>
      </c>
      <c r="D23" s="182">
        <f t="shared" si="0"/>
        <v>0.1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75194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11340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200985.56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10215127.560000001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10215127.560000001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265000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4230188</v>
      </c>
      <c r="D35" s="182">
        <f t="shared" ref="D35:D40" si="1">ROUND((C35/$C$41)*100,1)</f>
        <v>39.5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509775.29999999888</v>
      </c>
      <c r="D36" s="182">
        <f t="shared" si="1"/>
        <v>4.8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4784593</v>
      </c>
      <c r="D37" s="182">
        <f t="shared" si="1"/>
        <v>44.6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223210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974868</v>
      </c>
      <c r="D39" s="182">
        <f t="shared" si="1"/>
        <v>9.1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10722634.299999999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Pittsfield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2016-10-13T18:51:38Z</cp:lastPrinted>
  <dcterms:created xsi:type="dcterms:W3CDTF">1997-12-04T19:04:30Z</dcterms:created>
  <dcterms:modified xsi:type="dcterms:W3CDTF">2016-12-01T18:46:29Z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