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F0A" lockStructure="1"/>
  <bookViews>
    <workbookView xWindow="0" yWindow="-465" windowWidth="2560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9" i="1" l="1"/>
  <c r="K423" i="1"/>
  <c r="F185" i="1"/>
  <c r="F13" i="1"/>
  <c r="H277" i="1"/>
  <c r="H198" i="1"/>
  <c r="H22" i="1"/>
  <c r="F12" i="1"/>
  <c r="G440" i="1"/>
  <c r="F57" i="1"/>
  <c r="H208" i="1"/>
  <c r="H244" i="1"/>
  <c r="H591" i="1"/>
  <c r="H592" i="1"/>
  <c r="H541" i="1"/>
  <c r="G502" i="1"/>
  <c r="G499" i="1"/>
  <c r="F499" i="1"/>
  <c r="D9" i="13"/>
  <c r="B19" i="12"/>
  <c r="B20" i="12"/>
  <c r="B11" i="12"/>
  <c r="B10" i="12"/>
  <c r="B39" i="12"/>
  <c r="I197" i="1"/>
  <c r="H604" i="1"/>
  <c r="H595" i="1"/>
  <c r="F583" i="1"/>
  <c r="H526" i="1"/>
  <c r="K521" i="1"/>
  <c r="G498" i="1"/>
  <c r="F498" i="1"/>
  <c r="I276" i="1"/>
  <c r="I277" i="1"/>
  <c r="F277" i="1"/>
  <c r="J277" i="1"/>
  <c r="H521" i="1"/>
  <c r="F276" i="1"/>
  <c r="H276" i="1"/>
  <c r="H159" i="1"/>
  <c r="H155" i="1"/>
  <c r="H154" i="1"/>
  <c r="H13" i="1"/>
  <c r="H14" i="1"/>
  <c r="F367" i="1"/>
  <c r="I358" i="1"/>
  <c r="F368" i="1"/>
  <c r="H358" i="1"/>
  <c r="G358" i="1"/>
  <c r="F358" i="1"/>
  <c r="G132" i="1"/>
  <c r="G97" i="1"/>
  <c r="G24" i="1"/>
  <c r="G12" i="1"/>
  <c r="G14" i="1"/>
  <c r="H203" i="1"/>
  <c r="G202" i="1"/>
  <c r="F160" i="1"/>
  <c r="F117" i="1"/>
  <c r="F96" i="1"/>
  <c r="J255" i="1"/>
  <c r="I255" i="1"/>
  <c r="H255" i="1"/>
  <c r="K207" i="1"/>
  <c r="J207" i="1"/>
  <c r="I207" i="1"/>
  <c r="H207" i="1"/>
  <c r="G207" i="1"/>
  <c r="F207" i="1"/>
  <c r="G205" i="1"/>
  <c r="J205" i="1"/>
  <c r="I205" i="1"/>
  <c r="H205" i="1"/>
  <c r="F205" i="1"/>
  <c r="K204" i="1"/>
  <c r="J204" i="1"/>
  <c r="I204" i="1"/>
  <c r="H204" i="1"/>
  <c r="G204" i="1"/>
  <c r="F204" i="1"/>
  <c r="J203" i="1"/>
  <c r="I203" i="1"/>
  <c r="G203" i="1"/>
  <c r="F203" i="1"/>
  <c r="I202" i="1"/>
  <c r="F202" i="1"/>
  <c r="J202" i="1"/>
  <c r="H202" i="1"/>
  <c r="I200" i="1"/>
  <c r="H200" i="1"/>
  <c r="G200" i="1"/>
  <c r="F200" i="1"/>
  <c r="J198" i="1"/>
  <c r="J521" i="1" s="1"/>
  <c r="J524" i="1" s="1"/>
  <c r="J545" i="1" s="1"/>
  <c r="I198" i="1"/>
  <c r="I521" i="1" s="1"/>
  <c r="H197" i="1"/>
  <c r="G198" i="1"/>
  <c r="G521" i="1"/>
  <c r="F198" i="1"/>
  <c r="K197" i="1"/>
  <c r="J197" i="1"/>
  <c r="G197" i="1"/>
  <c r="F197" i="1"/>
  <c r="F29" i="1"/>
  <c r="F24" i="1"/>
  <c r="F14" i="1"/>
  <c r="F10" i="1"/>
  <c r="F9" i="1"/>
  <c r="F521" i="1"/>
  <c r="C45" i="2"/>
  <c r="C37" i="10"/>
  <c r="F40" i="2"/>
  <c r="D39" i="2"/>
  <c r="G655" i="1"/>
  <c r="F48" i="2"/>
  <c r="E48" i="2"/>
  <c r="D48" i="2"/>
  <c r="C48" i="2"/>
  <c r="F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G664" i="1" s="1"/>
  <c r="L307" i="1"/>
  <c r="L314" i="1"/>
  <c r="E109" i="2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/>
  <c r="L261" i="1"/>
  <c r="C132" i="2"/>
  <c r="L341" i="1"/>
  <c r="L342" i="1"/>
  <c r="E132" i="2" s="1"/>
  <c r="E144" i="2" s="1"/>
  <c r="E145" i="2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61" i="2"/>
  <c r="F2" i="11"/>
  <c r="L613" i="1"/>
  <c r="H663" i="1"/>
  <c r="L612" i="1"/>
  <c r="G663" i="1" s="1"/>
  <c r="I663" i="1" s="1"/>
  <c r="L611" i="1"/>
  <c r="F663" i="1"/>
  <c r="C40" i="10"/>
  <c r="F60" i="1"/>
  <c r="G60" i="1"/>
  <c r="H60" i="1"/>
  <c r="H112" i="1" s="1"/>
  <c r="H193" i="1" s="1"/>
  <c r="I60" i="1"/>
  <c r="F56" i="2" s="1"/>
  <c r="F63" i="2" s="1"/>
  <c r="F104" i="2" s="1"/>
  <c r="F79" i="1"/>
  <c r="F94" i="1"/>
  <c r="F111" i="1"/>
  <c r="G111" i="1"/>
  <c r="G112" i="1" s="1"/>
  <c r="H79" i="1"/>
  <c r="H94" i="1"/>
  <c r="H111" i="1"/>
  <c r="I111" i="1"/>
  <c r="I112" i="1"/>
  <c r="F121" i="1"/>
  <c r="F136" i="1"/>
  <c r="G121" i="1"/>
  <c r="G136" i="1"/>
  <c r="H121" i="1"/>
  <c r="H136" i="1"/>
  <c r="I121" i="1"/>
  <c r="I136" i="1"/>
  <c r="J121" i="1"/>
  <c r="J136" i="1"/>
  <c r="F147" i="1"/>
  <c r="C85" i="2"/>
  <c r="F162" i="1"/>
  <c r="G147" i="1"/>
  <c r="G162" i="1"/>
  <c r="H147" i="1"/>
  <c r="H162" i="1"/>
  <c r="I147" i="1"/>
  <c r="I162" i="1"/>
  <c r="C12" i="10"/>
  <c r="C13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H661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2" i="1"/>
  <c r="F550" i="1"/>
  <c r="L523" i="1"/>
  <c r="F551" i="1" s="1"/>
  <c r="L526" i="1"/>
  <c r="G549" i="1"/>
  <c r="L527" i="1"/>
  <c r="G550" i="1" s="1"/>
  <c r="L528" i="1"/>
  <c r="G551" i="1"/>
  <c r="L531" i="1"/>
  <c r="H549" i="1" s="1"/>
  <c r="H552" i="1" s="1"/>
  <c r="L532" i="1"/>
  <c r="H550" i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 s="1"/>
  <c r="C9" i="2"/>
  <c r="D9" i="2"/>
  <c r="E9" i="2"/>
  <c r="F9" i="2"/>
  <c r="I440" i="1"/>
  <c r="J10" i="1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G42" i="2" s="1"/>
  <c r="I457" i="1"/>
  <c r="J37" i="1" s="1"/>
  <c r="C56" i="2"/>
  <c r="D56" i="2"/>
  <c r="E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D81" i="2" s="1"/>
  <c r="D79" i="2"/>
  <c r="E77" i="2"/>
  <c r="F77" i="2"/>
  <c r="G77" i="2"/>
  <c r="G78" i="2"/>
  <c r="G81" i="2" s="1"/>
  <c r="C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D134" i="2"/>
  <c r="D144" i="2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H48" i="1" s="1"/>
  <c r="I19" i="1"/>
  <c r="F32" i="1"/>
  <c r="G32" i="1"/>
  <c r="H32" i="1"/>
  <c r="I32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K337" i="1"/>
  <c r="K338" i="1"/>
  <c r="K352" i="1" s="1"/>
  <c r="F362" i="1"/>
  <c r="G362" i="1"/>
  <c r="H362" i="1"/>
  <c r="I362" i="1"/>
  <c r="G634" i="1"/>
  <c r="J362" i="1"/>
  <c r="K362" i="1"/>
  <c r="I368" i="1"/>
  <c r="I369" i="1"/>
  <c r="H634" i="1" s="1"/>
  <c r="J634" i="1" s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F408" i="1" s="1"/>
  <c r="H643" i="1" s="1"/>
  <c r="J643" i="1" s="1"/>
  <c r="G393" i="1"/>
  <c r="H393" i="1"/>
  <c r="I393" i="1"/>
  <c r="I401" i="1"/>
  <c r="I407" i="1"/>
  <c r="I408" i="1"/>
  <c r="F401" i="1"/>
  <c r="G401" i="1"/>
  <c r="H401" i="1"/>
  <c r="F407" i="1"/>
  <c r="G407" i="1"/>
  <c r="H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J641" i="1" s="1"/>
  <c r="F452" i="1"/>
  <c r="G452" i="1"/>
  <c r="H452" i="1"/>
  <c r="H460" i="1"/>
  <c r="H461" i="1"/>
  <c r="H641" i="1" s="1"/>
  <c r="I470" i="1"/>
  <c r="I474" i="1"/>
  <c r="I476" i="1"/>
  <c r="H625" i="1" s="1"/>
  <c r="G625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I539" i="1"/>
  <c r="I544" i="1"/>
  <c r="J534" i="1"/>
  <c r="K534" i="1"/>
  <c r="L534" i="1"/>
  <c r="F539" i="1"/>
  <c r="G539" i="1"/>
  <c r="H539" i="1"/>
  <c r="J539" i="1"/>
  <c r="J544" i="1"/>
  <c r="K539" i="1"/>
  <c r="L539" i="1"/>
  <c r="F544" i="1"/>
  <c r="G544" i="1"/>
  <c r="G545" i="1"/>
  <c r="H544" i="1"/>
  <c r="K544" i="1"/>
  <c r="L557" i="1"/>
  <c r="L558" i="1"/>
  <c r="L560" i="1" s="1"/>
  <c r="L571" i="1" s="1"/>
  <c r="L559" i="1"/>
  <c r="F560" i="1"/>
  <c r="F565" i="1"/>
  <c r="F571" i="1" s="1"/>
  <c r="F570" i="1"/>
  <c r="G560" i="1"/>
  <c r="H560" i="1"/>
  <c r="H571" i="1" s="1"/>
  <c r="I560" i="1"/>
  <c r="J560" i="1"/>
  <c r="J571" i="1" s="1"/>
  <c r="J565" i="1"/>
  <c r="J570" i="1"/>
  <c r="K560" i="1"/>
  <c r="L562" i="1"/>
  <c r="L563" i="1"/>
  <c r="L564" i="1"/>
  <c r="G565" i="1"/>
  <c r="H565" i="1"/>
  <c r="I565" i="1"/>
  <c r="K565" i="1"/>
  <c r="L567" i="1"/>
  <c r="L568" i="1"/>
  <c r="L569" i="1"/>
  <c r="G570" i="1"/>
  <c r="H570" i="1"/>
  <c r="I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J649" i="1" s="1"/>
  <c r="I598" i="1"/>
  <c r="H650" i="1" s="1"/>
  <c r="J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H630" i="1"/>
  <c r="H636" i="1"/>
  <c r="G639" i="1"/>
  <c r="G640" i="1"/>
  <c r="G643" i="1"/>
  <c r="G645" i="1"/>
  <c r="G650" i="1"/>
  <c r="G651" i="1"/>
  <c r="G652" i="1"/>
  <c r="H652" i="1"/>
  <c r="G653" i="1"/>
  <c r="H653" i="1"/>
  <c r="G654" i="1"/>
  <c r="H654" i="1"/>
  <c r="H655" i="1"/>
  <c r="J655" i="1"/>
  <c r="L256" i="1"/>
  <c r="C26" i="10"/>
  <c r="L351" i="1"/>
  <c r="A31" i="12"/>
  <c r="A40" i="12"/>
  <c r="D12" i="13"/>
  <c r="C12" i="13" s="1"/>
  <c r="D62" i="2"/>
  <c r="D63" i="2" s="1"/>
  <c r="D104" i="2" s="1"/>
  <c r="D18" i="13"/>
  <c r="C18" i="13" s="1"/>
  <c r="D7" i="13"/>
  <c r="C7" i="13" s="1"/>
  <c r="D18" i="2"/>
  <c r="D17" i="13"/>
  <c r="C17" i="13"/>
  <c r="F78" i="2"/>
  <c r="F81" i="2"/>
  <c r="D31" i="2"/>
  <c r="C78" i="2"/>
  <c r="G157" i="2"/>
  <c r="F18" i="2"/>
  <c r="E103" i="2"/>
  <c r="D91" i="2"/>
  <c r="E62" i="2"/>
  <c r="E63" i="2"/>
  <c r="E31" i="2"/>
  <c r="D29" i="13"/>
  <c r="C29" i="13" s="1"/>
  <c r="D19" i="13"/>
  <c r="C19" i="13" s="1"/>
  <c r="E13" i="13"/>
  <c r="C13" i="13" s="1"/>
  <c r="E78" i="2"/>
  <c r="E81" i="2" s="1"/>
  <c r="E104" i="2" s="1"/>
  <c r="F112" i="1"/>
  <c r="L433" i="1"/>
  <c r="L419" i="1"/>
  <c r="I169" i="1"/>
  <c r="H169" i="1"/>
  <c r="J140" i="1"/>
  <c r="K545" i="1"/>
  <c r="C29" i="10"/>
  <c r="H140" i="1"/>
  <c r="L393" i="1"/>
  <c r="C138" i="2"/>
  <c r="G192" i="1"/>
  <c r="H192" i="1"/>
  <c r="E128" i="2"/>
  <c r="C35" i="10"/>
  <c r="L309" i="1"/>
  <c r="E16" i="13"/>
  <c r="L570" i="1"/>
  <c r="C16" i="13"/>
  <c r="L565" i="1"/>
  <c r="G408" i="1"/>
  <c r="H645" i="1" s="1"/>
  <c r="J645" i="1" s="1"/>
  <c r="I52" i="1"/>
  <c r="H620" i="1"/>
  <c r="C17" i="10"/>
  <c r="G156" i="2"/>
  <c r="F130" i="2"/>
  <c r="F144" i="2" s="1"/>
  <c r="F145" i="2" s="1"/>
  <c r="K571" i="1"/>
  <c r="I571" i="1"/>
  <c r="G459" i="1"/>
  <c r="G460" i="1" s="1"/>
  <c r="G461" i="1" s="1"/>
  <c r="H640" i="1" s="1"/>
  <c r="J640" i="1" s="1"/>
  <c r="H408" i="1"/>
  <c r="H644" i="1"/>
  <c r="J96" i="1"/>
  <c r="G338" i="1"/>
  <c r="G352" i="1"/>
  <c r="F192" i="1"/>
  <c r="C91" i="2"/>
  <c r="L247" i="1"/>
  <c r="I452" i="1"/>
  <c r="I446" i="1"/>
  <c r="G642" i="1" s="1"/>
  <c r="L427" i="1"/>
  <c r="L434" i="1"/>
  <c r="L401" i="1"/>
  <c r="C139" i="2" s="1"/>
  <c r="C141" i="2" s="1"/>
  <c r="L544" i="1"/>
  <c r="K605" i="1"/>
  <c r="G648" i="1" s="1"/>
  <c r="E110" i="2"/>
  <c r="C16" i="10"/>
  <c r="F459" i="1"/>
  <c r="H338" i="1"/>
  <c r="H352" i="1"/>
  <c r="G618" i="1"/>
  <c r="G48" i="1"/>
  <c r="F169" i="1"/>
  <c r="C21" i="10"/>
  <c r="K257" i="1"/>
  <c r="K271" i="1" s="1"/>
  <c r="G257" i="1"/>
  <c r="G271" i="1"/>
  <c r="F50" i="1"/>
  <c r="L270" i="1"/>
  <c r="F22" i="13"/>
  <c r="C22" i="13"/>
  <c r="C20" i="10"/>
  <c r="C110" i="2"/>
  <c r="F338" i="1"/>
  <c r="F352" i="1"/>
  <c r="J257" i="1"/>
  <c r="J271" i="1" s="1"/>
  <c r="F257" i="1"/>
  <c r="F271" i="1"/>
  <c r="G661" i="1"/>
  <c r="C121" i="2"/>
  <c r="K503" i="1"/>
  <c r="A13" i="12"/>
  <c r="L328" i="1"/>
  <c r="H660" i="1"/>
  <c r="H664" i="1"/>
  <c r="H672" i="1" s="1"/>
  <c r="C6" i="10"/>
  <c r="K598" i="1"/>
  <c r="G647" i="1"/>
  <c r="H545" i="1"/>
  <c r="K500" i="1"/>
  <c r="L290" i="1"/>
  <c r="E115" i="2"/>
  <c r="D127" i="2"/>
  <c r="D128" i="2"/>
  <c r="D145" i="2" s="1"/>
  <c r="F661" i="1"/>
  <c r="L362" i="1"/>
  <c r="H257" i="1"/>
  <c r="H271" i="1" s="1"/>
  <c r="C81" i="2"/>
  <c r="C62" i="2"/>
  <c r="C63" i="2"/>
  <c r="C10" i="10"/>
  <c r="C32" i="10"/>
  <c r="H25" i="13"/>
  <c r="C25" i="13"/>
  <c r="I257" i="1"/>
  <c r="I271" i="1" s="1"/>
  <c r="G649" i="1"/>
  <c r="C124" i="2"/>
  <c r="C128" i="2" s="1"/>
  <c r="D15" i="13"/>
  <c r="C15" i="13" s="1"/>
  <c r="H647" i="1"/>
  <c r="F662" i="1"/>
  <c r="C123" i="2"/>
  <c r="D14" i="13"/>
  <c r="C14" i="13" s="1"/>
  <c r="E8" i="13"/>
  <c r="C8" i="13"/>
  <c r="D6" i="13"/>
  <c r="C6" i="13" s="1"/>
  <c r="C15" i="10"/>
  <c r="C11" i="10"/>
  <c r="L211" i="1"/>
  <c r="D5" i="13"/>
  <c r="C5" i="13" s="1"/>
  <c r="C109" i="2"/>
  <c r="C18" i="2"/>
  <c r="L337" i="1"/>
  <c r="F62" i="2"/>
  <c r="C23" i="10"/>
  <c r="G163" i="2"/>
  <c r="G162" i="2"/>
  <c r="G160" i="2"/>
  <c r="G159" i="2"/>
  <c r="G158" i="2"/>
  <c r="G103" i="2"/>
  <c r="F103" i="2"/>
  <c r="C103" i="2"/>
  <c r="F91" i="2"/>
  <c r="F31" i="2"/>
  <c r="C31" i="2"/>
  <c r="E18" i="2"/>
  <c r="F50" i="2"/>
  <c r="F51" i="2" s="1"/>
  <c r="C24" i="10"/>
  <c r="G660" i="1"/>
  <c r="G31" i="13"/>
  <c r="G33" i="13"/>
  <c r="I338" i="1"/>
  <c r="I352" i="1" s="1"/>
  <c r="L407" i="1"/>
  <c r="C140" i="2"/>
  <c r="I192" i="1"/>
  <c r="E91" i="2"/>
  <c r="J654" i="1"/>
  <c r="J653" i="1"/>
  <c r="J434" i="1"/>
  <c r="F434" i="1"/>
  <c r="K434" i="1"/>
  <c r="G134" i="2"/>
  <c r="G144" i="2" s="1"/>
  <c r="G145" i="2" s="1"/>
  <c r="F31" i="13"/>
  <c r="F33" i="13"/>
  <c r="G169" i="1"/>
  <c r="C39" i="10"/>
  <c r="G140" i="1"/>
  <c r="F140" i="1"/>
  <c r="F193" i="1"/>
  <c r="F545" i="1"/>
  <c r="H434" i="1"/>
  <c r="J620" i="1"/>
  <c r="D103" i="2"/>
  <c r="I140" i="1"/>
  <c r="A22" i="12"/>
  <c r="J652" i="1"/>
  <c r="G571" i="1"/>
  <c r="I434" i="1"/>
  <c r="G434" i="1"/>
  <c r="C27" i="10"/>
  <c r="L338" i="1"/>
  <c r="L352" i="1"/>
  <c r="I193" i="1"/>
  <c r="G630" i="1" s="1"/>
  <c r="J630" i="1" s="1"/>
  <c r="G644" i="1"/>
  <c r="J644" i="1"/>
  <c r="J111" i="1"/>
  <c r="J112" i="1" s="1"/>
  <c r="J193" i="1" s="1"/>
  <c r="G59" i="2"/>
  <c r="G62" i="2"/>
  <c r="G63" i="2" s="1"/>
  <c r="I661" i="1"/>
  <c r="G627" i="1"/>
  <c r="F468" i="1"/>
  <c r="C115" i="2"/>
  <c r="I459" i="1"/>
  <c r="F460" i="1"/>
  <c r="F461" i="1" s="1"/>
  <c r="H639" i="1" s="1"/>
  <c r="J639" i="1" s="1"/>
  <c r="G51" i="1"/>
  <c r="D47" i="2"/>
  <c r="D50" i="2"/>
  <c r="D51" i="2"/>
  <c r="L408" i="1"/>
  <c r="G638" i="1"/>
  <c r="J472" i="1"/>
  <c r="G635" i="1"/>
  <c r="G472" i="1"/>
  <c r="D31" i="13"/>
  <c r="C31" i="13"/>
  <c r="F51" i="1"/>
  <c r="C49" i="2"/>
  <c r="C50" i="2" s="1"/>
  <c r="C51" i="2" s="1"/>
  <c r="E33" i="13"/>
  <c r="D35" i="13"/>
  <c r="H667" i="1"/>
  <c r="G633" i="1"/>
  <c r="H472" i="1"/>
  <c r="J647" i="1"/>
  <c r="F660" i="1"/>
  <c r="I660" i="1" s="1"/>
  <c r="C5" i="10"/>
  <c r="C104" i="2"/>
  <c r="H33" i="13"/>
  <c r="L257" i="1"/>
  <c r="L271" i="1"/>
  <c r="C28" i="10"/>
  <c r="D24" i="10" s="1"/>
  <c r="C38" i="10"/>
  <c r="J48" i="1"/>
  <c r="I460" i="1"/>
  <c r="I461" i="1"/>
  <c r="H642" i="1" s="1"/>
  <c r="G474" i="1"/>
  <c r="H635" i="1"/>
  <c r="J635" i="1" s="1"/>
  <c r="G637" i="1"/>
  <c r="H646" i="1"/>
  <c r="G52" i="1"/>
  <c r="H618" i="1"/>
  <c r="J618" i="1" s="1"/>
  <c r="G623" i="1"/>
  <c r="D33" i="13"/>
  <c r="D36" i="13" s="1"/>
  <c r="H627" i="1"/>
  <c r="J627" i="1" s="1"/>
  <c r="F470" i="1"/>
  <c r="G622" i="1"/>
  <c r="F52" i="1"/>
  <c r="H617" i="1" s="1"/>
  <c r="J617" i="1" s="1"/>
  <c r="J474" i="1"/>
  <c r="H638" i="1"/>
  <c r="J638" i="1" s="1"/>
  <c r="F664" i="1"/>
  <c r="F672" i="1"/>
  <c r="C4" i="10" s="1"/>
  <c r="G632" i="1"/>
  <c r="F472" i="1"/>
  <c r="H474" i="1"/>
  <c r="H633" i="1"/>
  <c r="J633" i="1" s="1"/>
  <c r="D15" i="10"/>
  <c r="D11" i="10"/>
  <c r="D10" i="10"/>
  <c r="D16" i="10"/>
  <c r="D21" i="10"/>
  <c r="C30" i="10"/>
  <c r="D25" i="10"/>
  <c r="D22" i="10"/>
  <c r="D13" i="10"/>
  <c r="D27" i="10"/>
  <c r="D18" i="10"/>
  <c r="D17" i="10"/>
  <c r="J468" i="1"/>
  <c r="H637" i="1" s="1"/>
  <c r="G47" i="2"/>
  <c r="H632" i="1"/>
  <c r="J632" i="1"/>
  <c r="F474" i="1"/>
  <c r="F476" i="1"/>
  <c r="H622" i="1"/>
  <c r="F667" i="1"/>
  <c r="J637" i="1"/>
  <c r="H631" i="1"/>
  <c r="J622" i="1"/>
  <c r="H648" i="1" l="1"/>
  <c r="J352" i="1"/>
  <c r="G667" i="1"/>
  <c r="G672" i="1"/>
  <c r="G646" i="1"/>
  <c r="J646" i="1" s="1"/>
  <c r="G631" i="1"/>
  <c r="J631" i="1" s="1"/>
  <c r="G164" i="2"/>
  <c r="C144" i="2"/>
  <c r="G36" i="2"/>
  <c r="G50" i="2" s="1"/>
  <c r="J51" i="1"/>
  <c r="G21" i="2"/>
  <c r="G31" i="2" s="1"/>
  <c r="J32" i="1"/>
  <c r="G18" i="2"/>
  <c r="I552" i="1"/>
  <c r="J19" i="1"/>
  <c r="G621" i="1" s="1"/>
  <c r="G9" i="2"/>
  <c r="K550" i="1"/>
  <c r="G552" i="1"/>
  <c r="J470" i="1"/>
  <c r="J476" i="1" s="1"/>
  <c r="H626" i="1" s="1"/>
  <c r="C145" i="2"/>
  <c r="J648" i="1"/>
  <c r="J625" i="1"/>
  <c r="E47" i="2"/>
  <c r="E50" i="2" s="1"/>
  <c r="E51" i="2" s="1"/>
  <c r="H51" i="1"/>
  <c r="J552" i="1"/>
  <c r="G193" i="1"/>
  <c r="C36" i="10"/>
  <c r="I524" i="1"/>
  <c r="I545" i="1" s="1"/>
  <c r="L521" i="1"/>
  <c r="G104" i="2"/>
  <c r="I662" i="1"/>
  <c r="I664" i="1" s="1"/>
  <c r="J642" i="1"/>
  <c r="K551" i="1"/>
  <c r="G629" i="1"/>
  <c r="H468" i="1"/>
  <c r="D12" i="10"/>
  <c r="D28" i="10" s="1"/>
  <c r="D19" i="10"/>
  <c r="D26" i="10"/>
  <c r="D20" i="10"/>
  <c r="D23" i="10"/>
  <c r="I667" i="1" l="1"/>
  <c r="I672" i="1"/>
  <c r="C7" i="10" s="1"/>
  <c r="C41" i="10"/>
  <c r="D36" i="10"/>
  <c r="G628" i="1"/>
  <c r="G468" i="1"/>
  <c r="G626" i="1"/>
  <c r="J626" i="1" s="1"/>
  <c r="J52" i="1"/>
  <c r="H621" i="1" s="1"/>
  <c r="J621" i="1" s="1"/>
  <c r="F549" i="1"/>
  <c r="L524" i="1"/>
  <c r="L545" i="1" s="1"/>
  <c r="G51" i="2"/>
  <c r="H470" i="1"/>
  <c r="H476" i="1" s="1"/>
  <c r="H624" i="1" s="1"/>
  <c r="H629" i="1"/>
  <c r="J629" i="1" s="1"/>
  <c r="H52" i="1"/>
  <c r="H619" i="1" s="1"/>
  <c r="J619" i="1" s="1"/>
  <c r="G624" i="1"/>
  <c r="J624" i="1" s="1"/>
  <c r="K549" i="1" l="1"/>
  <c r="K552" i="1" s="1"/>
  <c r="F552" i="1"/>
  <c r="G470" i="1"/>
  <c r="G476" i="1" s="1"/>
  <c r="H623" i="1" s="1"/>
  <c r="J623" i="1" s="1"/>
  <c r="H628" i="1"/>
  <c r="J628" i="1" s="1"/>
  <c r="D40" i="10"/>
  <c r="D37" i="10"/>
  <c r="D39" i="10"/>
  <c r="D35" i="10"/>
  <c r="D38" i="10"/>
  <c r="H65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<sst xmlns="http://schemas.openxmlformats.org/spreadsheetml/2006/main" count="3960" uniqueCount="917">
  <si>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</si>
  <si>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</si>
  <si>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</si>
  <si>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</si>
  <si>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</si>
  <si>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</si>
  <si>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</si>
  <si>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</si>
  <si>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</si>
  <si>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</si>
  <si>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</si>
  <si>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</si>
  <si>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</si>
  <si>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</si>
  <si>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</si>
  <si>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</si>
  <si>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</si>
  <si>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</si>
  <si>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</si>
  <si>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</si>
  <si>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</si>
  <si>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</si>
  <si>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</si>
  <si>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</si>
  <si>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</si>
  <si>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</si>
  <si>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</si>
  <si>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</si>
  <si>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</si>
  <si>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</si>
  <si>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</si>
  <si>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</si>
  <si>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</si>
  <si>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</si>
  <si>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</si>
  <si>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</si>
  <si>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</si>
  <si>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</si>
  <si>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</si>
  <si>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</si>
  <si>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</si>
  <si>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</si>
  <si>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</si>
  <si>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</si>
  <si>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</si>
  <si>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</si>
  <si>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</si>
  <si>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</si>
  <si>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</si>
  <si>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</si>
  <si>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</si>
  <si>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</si>
  <si>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</si>
  <si>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</si>
  <si>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</si>
  <si>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</si>
  <si>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</si>
  <si>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</si>
  <si>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</si>
  <si>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</si>
  <si>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</si>
  <si>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</si>
  <si>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</si>
  <si>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</si>
  <si>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</si>
  <si>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</si>
  <si>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</si>
  <si>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</si>
  <si>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</si>
  <si>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</si>
  <si>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</si>
  <si>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</si>
  <si>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</si>
  <si>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</si>
  <si>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</si>
  <si>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</si>
  <si>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</si>
  <si>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</si>
  <si>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</si>
  <si>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</si>
  <si>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</si>
  <si>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</si>
  <si>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</si>
  <si>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</si>
  <si>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</si>
  <si>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</si>
  <si>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</si>
  <si>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</si>
  <si>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</si>
  <si>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</si>
  <si>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</si>
  <si>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</si>
  <si>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</si>
  <si>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</si>
  <si>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</si>
  <si>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</si>
  <si>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</si>
  <si>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</si>
  <si>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</si>
  <si>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</si>
  <si>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</si>
  <si>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</si>
  <si>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</si>
  <si>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</si>
  <si>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</si>
  <si>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</si>
  <si>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</si>
  <si>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</si>
  <si>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</si>
  <si>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</si>
  <si>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</si>
  <si>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</si>
  <si>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</si>
  <si>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</si>
  <si>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</si>
  <si>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</si>
  <si>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</si>
  <si>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</si>
  <si>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</si>
  <si>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</si>
  <si>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</si>
  <si>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</si>
  <si>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</si>
  <si>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</si>
  <si>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</si>
  <si>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</si>
  <si>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</si>
  <si>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</si>
  <si>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</si>
  <si>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</si>
  <si>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</si>
  <si>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</si>
  <si>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</si>
  <si>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</si>
  <si>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</si>
  <si>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</si>
  <si>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</si>
  <si>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</si>
  <si>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</si>
  <si>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</si>
  <si>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</si>
  <si>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</si>
  <si>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</si>
  <si>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</si>
  <si>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</si>
  <si>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</si>
  <si>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</si>
  <si>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</si>
  <si>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</si>
  <si>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</si>
  <si>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</si>
  <si>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</si>
  <si>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</si>
  <si>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</si>
  <si>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</si>
  <si>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</si>
  <si>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</si>
  <si>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</si>
  <si>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</si>
  <si>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</si>
  <si>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</si>
  <si>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</si>
  <si>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</si>
  <si>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</si>
  <si>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</si>
  <si>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</si>
  <si>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</si>
  <si>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</si>
  <si>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</si>
  <si>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</si>
  <si>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</si>
  <si>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</si>
  <si>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</si>
  <si>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</si>
  <si>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</si>
  <si>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</si>
  <si>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</si>
  <si>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</si>
  <si>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</si>
  <si>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</si>
  <si>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</si>
  <si>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</si>
  <si>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</si>
  <si>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</si>
  <si>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</si>
  <si>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</si>
  <si>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</si>
  <si>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</si>
  <si>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</si>
  <si>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</si>
  <si>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</si>
  <si>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</si>
  <si>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</si>
  <si>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</si>
  <si>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</si>
  <si>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</si>
  <si>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</si>
  <si>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</si>
  <si>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</si>
  <si>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</si>
  <si>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</si>
  <si>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</si>
  <si>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</si>
  <si>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</si>
  <si>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</si>
  <si>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</si>
  <si>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</si>
  <si>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</si>
  <si>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</si>
  <si>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</si>
  <si>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</si>
  <si>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</si>
  <si>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</si>
  <si>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</si>
  <si>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</si>
  <si>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</si>
  <si>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</si>
  <si>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</si>
  <si>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</si>
  <si>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</si>
  <si>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</si>
  <si>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</si>
  <si>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</si>
  <si>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</si>
  <si>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</si>
  <si>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</si>
  <si>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</si>
  <si>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</si>
  <si>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</si>
  <si>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</si>
  <si>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</si>
  <si>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</si>
  <si>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</si>
  <si>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</si>
  <si>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</si>
  <si>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</si>
  <si>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</si>
  <si>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</si>
  <si>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</si>
  <si>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</si>
  <si>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</si>
  <si>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</si>
  <si>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</si>
  <si>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</si>
  <si>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</si>
  <si>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</si>
  <si>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</si>
  <si>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</si>
  <si>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</si>
  <si>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</si>
  <si>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</si>
  <si>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</si>
  <si>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</si>
  <si>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</si>
  <si>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</si>
  <si>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</si>
  <si>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</si>
  <si>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</si>
  <si>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</si>
  <si>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</si>
  <si>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</si>
  <si>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</si>
  <si>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</si>
  <si>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</si>
  <si>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</si>
  <si>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</si>
  <si>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</si>
  <si>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</si>
  <si>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</si>
  <si>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</si>
  <si>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</si>
  <si>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</si>
  <si>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</si>
  <si>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</si>
  <si>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</si>
  <si>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</si>
  <si>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</si>
  <si>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</si>
  <si>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</si>
  <si>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</si>
  <si>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</si>
  <si>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</si>
  <si>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</si>
  <si>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</si>
  <si>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</si>
  <si>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</si>
  <si>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</si>
  <si>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</si>
  <si>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</si>
  <si>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</si>
  <si>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</si>
  <si>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</si>
  <si>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</si>
  <si>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</si>
  <si>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</si>
  <si>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</si>
  <si>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</si>
  <si>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</si>
  <si>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</si>
  <si>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</si>
  <si>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</si>
  <si>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</si>
  <si>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</si>
  <si>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</si>
  <si>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</si>
  <si>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</si>
  <si>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</si>
  <si>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</si>
  <si>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</si>
  <si>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</si>
  <si>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</si>
  <si>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</si>
  <si>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</si>
  <si>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</si>
  <si>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</si>
  <si>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</si>
  <si>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</si>
  <si>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</si>
  <si>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</si>
  <si>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</si>
  <si>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</si>
  <si>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</si>
  <si>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</si>
  <si>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</si>
  <si>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</si>
  <si>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</si>
  <si>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</si>
  <si>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</si>
  <si>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</si>
  <si>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</si>
  <si>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</si>
  <si>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</si>
  <si>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</si>
  <si>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</si>
  <si>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</si>
  <si>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</si>
  <si>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</si>
  <si>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</si>
  <si>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</si>
  <si>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</si>
  <si>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</si>
  <si>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</si>
  <si>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</si>
  <si>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</si>
  <si>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</si>
  <si>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</si>
  <si>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</si>
  <si>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</si>
  <si>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</si>
  <si>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</si>
  <si>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</si>
  <si>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</si>
  <si>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</si>
  <si>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</si>
  <si>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</si>
  <si>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</si>
  <si>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</si>
  <si>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</si>
  <si>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</si>
  <si>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</si>
  <si>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</si>
  <si>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</si>
  <si>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</si>
  <si>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</si>
  <si>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</si>
  <si>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</si>
  <si>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</si>
  <si>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</si>
  <si>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</si>
  <si>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</si>
  <si>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</si>
  <si>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</si>
  <si>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</si>
  <si>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</si>
  <si>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</si>
  <si>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</si>
  <si>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</si>
  <si>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</si>
  <si>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</si>
  <si>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</si>
  <si>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</si>
  <si>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</si>
  <si>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</si>
  <si>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</si>
  <si>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</si>
  <si>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</si>
  <si>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</si>
  <si>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</si>
  <si>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</si>
  <si>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</si>
  <si>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</si>
  <si>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</si>
  <si>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</si>
  <si>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</si>
  <si>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</si>
  <si>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</si>
  <si>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</si>
  <si>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</si>
  <si>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</si>
  <si>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</si>
  <si>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</si>
  <si>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</si>
  <si>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</si>
  <si>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</si>
  <si>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</si>
  <si>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</si>
  <si>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</si>
  <si>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</si>
  <si>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</si>
  <si>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</si>
  <si>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</si>
  <si>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</si>
  <si>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</si>
  <si>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</si>
  <si>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</si>
  <si>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</si>
  <si>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</si>
  <si>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</si>
  <si>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</si>
  <si>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</si>
  <si>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</si>
  <si>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</si>
  <si>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</si>
  <si>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</si>
  <si>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</si>
  <si>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</si>
  <si>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</si>
  <si>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</si>
  <si>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</si>
  <si>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</si>
  <si>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</si>
  <si>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</si>
  <si>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</si>
  <si>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</si>
  <si>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</si>
  <si>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</si>
  <si>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</si>
  <si>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</si>
  <si>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</si>
  <si>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</si>
  <si>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</si>
  <si>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</si>
  <si>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</si>
  <si>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</si>
  <si>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</si>
  <si>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</si>
  <si>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</si>
  <si>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</si>
  <si>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</si>
  <si>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</si>
  <si>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</si>
  <si>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</si>
  <si>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</si>
  <si>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</si>
  <si>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</si>
  <si>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</si>
  <si>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</si>
  <si>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</si>
  <si>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</si>
  <si>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</si>
  <si>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</si>
  <si>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</si>
  <si>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</si>
  <si>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</si>
  <si>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</si>
  <si>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</si>
  <si>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</si>
  <si>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</si>
  <si>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</si>
  <si>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</si>
  <si>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</si>
  <si>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</si>
  <si>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</si>
  <si>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</si>
  <si>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</si>
  <si>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</si>
  <si>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</si>
  <si>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</si>
  <si>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</si>
  <si>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</si>
  <si>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</si>
  <si>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</si>
  <si>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</si>
  <si>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</si>
  <si>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</si>
  <si>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</si>
  <si>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</si>
  <si>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</si>
  <si>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</si>
  <si>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</si>
  <si>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</si>
  <si>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</si>
  <si>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</si>
  <si>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</si>
  <si>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</si>
  <si>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</si>
  <si>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</si>
  <si>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</si>
  <si>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</si>
  <si>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</si>
  <si>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</si>
  <si>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</si>
  <si>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</si>
  <si>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</si>
  <si>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</si>
  <si>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</si>
  <si>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</si>
  <si>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</si>
  <si>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</si>
  <si>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</si>
  <si>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</si>
  <si>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</si>
  <si>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</si>
  <si>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</si>
  <si>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</si>
  <si>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</si>
  <si>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</si>
  <si>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</si>
  <si>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</si>
  <si>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</si>
  <si>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</si>
  <si>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</si>
  <si>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</si>
  <si>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</si>
  <si>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</si>
  <si>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</si>
  <si>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</si>
  <si>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</si>
  <si>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</si>
  <si>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</si>
  <si>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</si>
  <si>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</si>
  <si>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</si>
  <si>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</si>
  <si>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</si>
  <si>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</si>
  <si>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</si>
  <si>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</si>
  <si>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</si>
  <si>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</si>
  <si>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</si>
  <si>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</si>
  <si>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</si>
  <si>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</si>
  <si>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</si>
  <si>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</si>
  <si>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</si>
  <si>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</si>
  <si>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</si>
  <si>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</si>
  <si>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</si>
  <si>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</si>
  <si>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</si>
  <si>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</si>
  <si>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</si>
  <si>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</si>
  <si>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</si>
  <si>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</si>
  <si>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</si>
  <si>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</si>
  <si>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</si>
  <si>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</si>
  <si>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</si>
  <si>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</si>
  <si>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</si>
  <si>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</si>
  <si>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</si>
  <si>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</si>
  <si>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</si>
  <si>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</si>
  <si>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</si>
  <si>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</si>
  <si>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</si>
  <si>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</si>
  <si>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</si>
  <si>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</si>
  <si>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</si>
  <si>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</si>
  <si>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</si>
  <si>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</si>
  <si>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</si>
  <si>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</si>
  <si>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</si>
  <si>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</si>
  <si>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</si>
  <si>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</si>
  <si>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</si>
  <si>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</si>
  <si>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</si>
  <si>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</si>
  <si>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</si>
  <si>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</si>
  <si>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</si>
  <si>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</si>
  <si>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</si>
  <si>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</si>
  <si>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</si>
  <si>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</si>
  <si>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</si>
  <si>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</si>
  <si>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</si>
  <si>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</si>
  <si>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</si>
  <si>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</si>
  <si>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</si>
  <si>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</si>
  <si>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</si>
  <si>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</si>
  <si>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</si>
  <si>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</si>
  <si>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</si>
  <si>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</si>
  <si>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</si>
  <si>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</si>
  <si>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</si>
  <si>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</si>
  <si>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</si>
  <si>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</si>
  <si>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</si>
  <si>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</si>
  <si>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</si>
  <si>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</si>
  <si>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</si>
  <si>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</si>
  <si>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</si>
  <si>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</si>
  <si>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</si>
  <si>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</si>
  <si>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</si>
  <si>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</si>
  <si>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</si>
  <si>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</si>
  <si>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</si>
  <si>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</si>
  <si>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</si>
  <si>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</si>
  <si>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</si>
  <si>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</si>
  <si>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</si>
  <si>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</si>
  <si>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</si>
  <si>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</si>
  <si>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</si>
  <si>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</si>
  <si>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</si>
  <si>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</si>
  <si>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</si>
  <si>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</si>
  <si>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</si>
  <si>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</si>
  <si>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</si>
  <si>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</si>
  <si>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</si>
  <si>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</si>
  <si>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</si>
  <si>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</si>
  <si>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</si>
  <si>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</si>
  <si>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</si>
  <si>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</si>
  <si>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</si>
  <si>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</si>
  <si>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</si>
  <si>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</si>
  <si>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</si>
  <si>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</si>
  <si>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</si>
  <si>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</si>
  <si>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</si>
  <si>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</si>
  <si>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</si>
  <si>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</si>
  <si>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</si>
  <si>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</si>
  <si>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</si>
  <si>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</si>
  <si>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</si>
  <si>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</si>
  <si>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</si>
  <si>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</si>
  <si>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</si>
  <si>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</si>
  <si>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</si>
  <si>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</si>
  <si>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</si>
  <si>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</si>
  <si>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</si>
  <si>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</si>
  <si>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</si>
  <si>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</si>
  <si>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</si>
  <si>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</si>
  <si>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</si>
  <si>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</si>
  <si>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</si>
  <si>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</si>
  <si>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</si>
  <si>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</si>
  <si>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</si>
  <si>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</si>
  <si>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</si>
  <si>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</si>
  <si>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</si>
  <si>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</si>
  <si>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</si>
  <si>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</si>
  <si>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</si>
  <si>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</si>
  <si>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</si>
  <si>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</si>
  <si>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</si>
  <si>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</si>
  <si>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</si>
  <si>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</si>
  <si>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</si>
  <si>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</si>
  <si>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</si>
  <si>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</si>
  <si>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</si>
  <si>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</si>
  <si>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</si>
  <si>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</si>
  <si>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</si>
  <si>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</si>
  <si>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</si>
  <si>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</si>
  <si>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</si>
  <si>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</si>
  <si>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</si>
  <si>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</si>
  <si>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</si>
  <si>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</si>
  <si>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</si>
  <si>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</si>
  <si>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</si>
  <si>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</si>
  <si>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</si>
  <si>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</si>
  <si>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</si>
  <si>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</si>
  <si>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</si>
  <si>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</si>
  <si>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</si>
  <si>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</si>
  <si>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</si>
  <si>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</si>
  <si>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</si>
  <si>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</si>
  <si>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</si>
  <si>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</si>
  <si>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</si>
  <si>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</si>
  <si>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</si>
  <si>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</si>
  <si>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</si>
  <si>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</si>
  <si>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</si>
  <si>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</si>
  <si>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</si>
  <si>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</si>
  <si>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</si>
  <si>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</si>
  <si>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</si>
  <si>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</si>
  <si>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</si>
  <si>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</si>
  <si>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</si>
  <si>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</si>
  <si>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</si>
  <si>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</si>
  <si>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</si>
  <si>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</si>
  <si>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</si>
  <si>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</si>
  <si>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</si>
  <si>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</si>
  <si>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</si>
  <si>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</si>
  <si>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</si>
  <si>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</si>
  <si>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</si>
  <si>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</si>
  <si>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</si>
  <si>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</si>
  <si>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</si>
  <si>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</si>
  <si>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</si>
  <si>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</si>
  <si>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</si>
  <si>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</si>
  <si>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</si>
  <si>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</si>
  <si>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</si>
  <si>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</si>
  <si>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</si>
  <si>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</si>
  <si>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</si>
  <si>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</si>
  <si>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</si>
  <si>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</si>
  <si>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</si>
  <si>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</si>
  <si>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</si>
  <si>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</si>
  <si>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</si>
  <si>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</si>
  <si>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</si>
  <si>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</si>
  <si>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</si>
  <si>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</si>
  <si>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</si>
  <si>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</si>
  <si>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</si>
  <si>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</si>
  <si>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</si>
  <si>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</si>
  <si>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</si>
  <si>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</si>
  <si>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</si>
  <si>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</si>
  <si>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</si>
  <si>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</si>
  <si>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</si>
  <si>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</si>
  <si>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</si>
  <si>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</si>
  <si>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</si>
  <si>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</si>
  <si>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</si>
  <si>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</si>
  <si>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</si>
  <si>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</si>
  <si>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</si>
  <si>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</si>
  <si>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</si>
  <si>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</si>
  <si>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</si>
  <si>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</si>
  <si>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</si>
  <si>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</si>
  <si>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</si>
  <si>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</si>
  <si>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</si>
  <si>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</si>
  <si>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</si>
  <si>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</si>
  <si>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</si>
  <si>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</si>
  <si>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</si>
  <si>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</si>
  <si>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</si>
  <si>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</si>
  <si>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</si>
  <si>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</si>
  <si>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</si>
  <si>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</si>
  <si>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</si>
  <si>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</si>
  <si>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</si>
  <si>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</si>
  <si>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</si>
  <si>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</si>
  <si>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</si>
  <si>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</si>
  <si>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</si>
  <si>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</si>
  <si>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</si>
  <si>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</si>
  <si>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</si>
  <si>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</si>
  <si>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</si>
  <si>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</si>
  <si>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</si>
  <si>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</si>
  <si>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</si>
  <si>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</si>
  <si>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</si>
  <si>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</si>
  <si>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</si>
  <si>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</si>
  <si>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</si>
  <si>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</si>
  <si>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</si>
  <si>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</si>
  <si>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</si>
  <si>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</si>
  <si>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</si>
  <si>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</si>
  <si>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</si>
  <si>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</si>
  <si>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</si>
  <si>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</si>
  <si>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</si>
  <si>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</si>
  <si>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</si>
  <si>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</si>
  <si>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</si>
  <si>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</si>
  <si>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</si>
  <si>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</si>
  <si>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</si>
  <si>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</si>
  <si>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</si>
  <si>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</si>
  <si>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</si>
  <si>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</si>
  <si>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</si>
  <si>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</si>
  <si>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</si>
  <si>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</si>
  <si>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</si>
  <si>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</si>
  <si>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Plainfield School District</t>
  </si>
  <si>
    <t>12/10</t>
  </si>
  <si>
    <t>07/12</t>
  </si>
  <si>
    <t>01/21</t>
  </si>
  <si>
    <t>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</si>
</sst>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441</v>
      </c>
      <c r="C2" s="21">
        <v>441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64832.22+100</f>
        <v>64932.22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63192.15</f>
        <v>63192.15</v>
      </c>
      <c r="G10" s="18"/>
      <c r="H10" s="18"/>
      <c r="I10" s="18"/>
      <c r="J10" s="67">
        <f>SUM(I440)</f>
        <v>323247.67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11570.36-231.64</f>
        <v>11338.720000000001</v>
      </c>
      <c r="G12" s="18">
        <f>5251.06</f>
        <v>5251.06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39477.88-14416.34</f>
        <v>25061.539999999997</v>
      </c>
      <c r="G13" s="18"/>
      <c r="H13" s="18">
        <f>4933.04+13689.45+502.8</f>
        <v>19125.29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24214.4</f>
        <v>24214.400000000001</v>
      </c>
      <c r="G14" s="18">
        <f>547.27</f>
        <v>547.27</v>
      </c>
      <c r="H14" s="18">
        <f>1958.62</f>
        <v>1958.62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188739.03</v>
      </c>
      <c r="G19" s="41">
        <f>SUM(G9:G18)</f>
        <v>5798.33</v>
      </c>
      <c r="H19" s="41">
        <f>SUM(H9:H18)</f>
        <v>21083.91</v>
      </c>
      <c r="I19" s="41">
        <f>SUM(I9:I18)</f>
        <v>0</v>
      </c>
      <c r="J19" s="41">
        <f>SUM(J9:J18)</f>
        <v>323247.67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1958.62+4916.06+9211.9+502.8-231.64</f>
        <v>16357.740000000002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25061.539999999997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164996.42</f>
        <v>164996.42000000001</v>
      </c>
      <c r="G24" s="18">
        <f>3451.58</f>
        <v>3451.58</v>
      </c>
      <c r="H24" s="18">
        <v>4477.55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0.32+173.42</f>
        <v>173.73999999999998</v>
      </c>
      <c r="G29" s="18"/>
      <c r="H29" s="18">
        <v>16.98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165170.16</v>
      </c>
      <c r="G32" s="41">
        <f>SUM(G22:G31)</f>
        <v>3451.58</v>
      </c>
      <c r="H32" s="41">
        <f>SUM(H22:H31)</f>
        <v>20852.27</v>
      </c>
      <c r="I32" s="41">
        <f>SUM(I22:I31)</f>
        <v>0</v>
      </c>
      <c r="J32" s="41">
        <f>SUM(J22:J31)</f>
        <v>25061.539999999997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G19-G32</f>
        <v>2346.75</v>
      </c>
      <c r="H48" s="18">
        <f>H19-H32</f>
        <v>231.63999999999942</v>
      </c>
      <c r="I48" s="18"/>
      <c r="J48" s="13">
        <f>SUM(I459)</f>
        <v>298186.13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23568.87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F19-F32-F48-F49</f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23568.87</v>
      </c>
      <c r="G51" s="41">
        <f>SUM(G35:G50)</f>
        <v>2346.75</v>
      </c>
      <c r="H51" s="41">
        <f>SUM(H35:H50)</f>
        <v>231.63999999999942</v>
      </c>
      <c r="I51" s="41">
        <f>SUM(I35:I50)</f>
        <v>0</v>
      </c>
      <c r="J51" s="41">
        <f>SUM(J35:J50)</f>
        <v>298186.13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188739.03</v>
      </c>
      <c r="G52" s="41">
        <f>G51+G32</f>
        <v>5798.33</v>
      </c>
      <c r="H52" s="41">
        <f>H51+H32</f>
        <v>21083.91</v>
      </c>
      <c r="I52" s="41">
        <f>I51+I32</f>
        <v>0</v>
      </c>
      <c r="J52" s="41">
        <f>J51+J32</f>
        <v>323247.67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4872344-641749</f>
        <v>4230595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4230595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 t="s">
        <v>287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6.85+270.47</f>
        <v>277.32000000000005</v>
      </c>
      <c r="G96" s="18"/>
      <c r="H96" s="18"/>
      <c r="I96" s="18"/>
      <c r="J96" s="18">
        <f>H401</f>
        <v>1668.92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27291.38</f>
        <v>27291.38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11671.31</v>
      </c>
      <c r="G110" s="18"/>
      <c r="H110" s="18">
        <v>500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11948.63</v>
      </c>
      <c r="G111" s="41">
        <f>SUM(G96:G110)</f>
        <v>27291.38</v>
      </c>
      <c r="H111" s="41">
        <f>SUM(H96:H110)</f>
        <v>500</v>
      </c>
      <c r="I111" s="41">
        <f>SUM(I96:I110)</f>
        <v>0</v>
      </c>
      <c r="J111" s="41">
        <f>SUM(J96:J110)</f>
        <v>1668.92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4242543.63</v>
      </c>
      <c r="G112" s="41">
        <f>G60+G111</f>
        <v>27291.38</v>
      </c>
      <c r="H112" s="41">
        <f>H60+H79+H94+H111</f>
        <v>500</v>
      </c>
      <c r="I112" s="41">
        <f>I60+I111</f>
        <v>0</v>
      </c>
      <c r="J112" s="41">
        <f>J60+J111</f>
        <v>1668.92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686395.83</f>
        <v>686395.83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641749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1328144.83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10502.34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11788.31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573.58</f>
        <v>573.58000000000004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22290.65</v>
      </c>
      <c r="G136" s="41">
        <f>SUM(G123:G135)</f>
        <v>573.58000000000004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1350435.48</v>
      </c>
      <c r="G140" s="41">
        <f>G121+SUM(G136:G137)</f>
        <v>573.58000000000004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10259.01</f>
        <v>10259.01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1958.62+25128.65</f>
        <v>27087.27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9476.2900000000009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55432.49+2002.8</f>
        <v>57435.29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60172.51</f>
        <v>60172.51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60172.51</v>
      </c>
      <c r="G162" s="41">
        <f>SUM(G150:G161)</f>
        <v>9476.2900000000009</v>
      </c>
      <c r="H162" s="41">
        <f>SUM(H150:H161)</f>
        <v>94781.57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60172.51</v>
      </c>
      <c r="G169" s="41">
        <f>G147+G162+SUM(G163:G168)</f>
        <v>9476.2900000000009</v>
      </c>
      <c r="H169" s="41">
        <f>H147+H162+SUM(H163:H168)</f>
        <v>94781.57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25666.38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93.71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93.71</v>
      </c>
      <c r="G183" s="41">
        <f>SUM(G179:G182)</f>
        <v>25666.38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f>136087.33-14416.34</f>
        <v>121670.98999999999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121670.98999999999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121764.7</v>
      </c>
      <c r="G192" s="41">
        <f>G183+SUM(G188:G191)</f>
        <v>25666.38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5774916.3199999994</v>
      </c>
      <c r="G193" s="47">
        <f>G112+G140+G169+G192</f>
        <v>63007.630000000005</v>
      </c>
      <c r="H193" s="47">
        <f>H112+H140+H169+H192</f>
        <v>95281.57</v>
      </c>
      <c r="I193" s="47">
        <f>I112+I140+I169+I192</f>
        <v>0</v>
      </c>
      <c r="J193" s="47">
        <f>J112+J140+J192</f>
        <v>51668.92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1223555.16+27864.83+17970.41</f>
        <v>1269390.3999999999</v>
      </c>
      <c r="G197" s="18">
        <f>239412.87+28315.93+3573.41+5815.49+1250.08+95176.34+185534.86+17675.04</f>
        <v>576754.02</v>
      </c>
      <c r="H197" s="18">
        <f>15170.67</f>
        <v>15170.67</v>
      </c>
      <c r="I197" s="18">
        <f>17372.67+9123.94+2892.01+14088.19+2500</f>
        <v>45976.810000000005</v>
      </c>
      <c r="J197" s="18">
        <f>977.62+5062.67+4413.07</f>
        <v>10453.36</v>
      </c>
      <c r="K197" s="18">
        <f>9942.47</f>
        <v>9942.4699999999993</v>
      </c>
      <c r="L197" s="19">
        <f>SUM(F197:K197)</f>
        <v>1927687.73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187878.66+179210.56+5087.15+14603.89</f>
        <v>386780.26</v>
      </c>
      <c r="G198" s="18">
        <f>211635.31+13342.59+1232.12+1874.92+28673.59+29587.36+7071.59</f>
        <v>293417.48000000004</v>
      </c>
      <c r="H198" s="18">
        <f>41209.36+1773.52+3124+57143.26+7805.67+5298.68+4031.45+10480+250694.27+231.64</f>
        <v>381791.85</v>
      </c>
      <c r="I198" s="18">
        <f>339.8+100+192.41</f>
        <v>632.21</v>
      </c>
      <c r="J198" s="18">
        <f>586.49</f>
        <v>586.49</v>
      </c>
      <c r="K198" s="18">
        <v>1740.99</v>
      </c>
      <c r="L198" s="19">
        <f>SUM(F198:K198)</f>
        <v>1064949.2799999998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14800+5500+4870</f>
        <v>25170</v>
      </c>
      <c r="G200" s="18">
        <f>1611.65+2056.75</f>
        <v>3668.4</v>
      </c>
      <c r="H200" s="18">
        <f>800</f>
        <v>800</v>
      </c>
      <c r="I200" s="18">
        <f>3809.3</f>
        <v>3809.3</v>
      </c>
      <c r="J200" s="18"/>
      <c r="K200" s="18">
        <v>915</v>
      </c>
      <c r="L200" s="19">
        <f>SUM(F200:K200)</f>
        <v>34362.700000000004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58919+64429</f>
        <v>123348</v>
      </c>
      <c r="G202" s="18">
        <f>17772.43+1292.92+316.18+302.68+4255.92+9232.6+17962.16-1725.17+246.74+325.55+4676.62+10096.06+1932.84</f>
        <v>66687.53</v>
      </c>
      <c r="H202" s="18">
        <f>3676.55+68391.04</f>
        <v>72067.59</v>
      </c>
      <c r="I202" s="18">
        <f>658.63+496.94+6392.6+1258.88</f>
        <v>8807.0499999999993</v>
      </c>
      <c r="J202" s="18">
        <f>4999.99+23953+2243</f>
        <v>31195.989999999998</v>
      </c>
      <c r="K202" s="18">
        <v>328.95</v>
      </c>
      <c r="L202" s="19">
        <f t="shared" ref="L202:L208" si="0">SUM(F202:K202)</f>
        <v>302435.11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2975+100+680.8+38968+22829</f>
        <v>65552.800000000003</v>
      </c>
      <c r="G203" s="18">
        <f>277.08+481.85+15710.03+1647.3+199.12+314.39+3108.88+6106.11+1168.96</f>
        <v>29013.719999999998</v>
      </c>
      <c r="H203" s="18">
        <f>9685.35+718.44+6915.02+12650.88+335.88+1038</f>
        <v>31343.570000000003</v>
      </c>
      <c r="I203" s="18">
        <f>108.31+62.96+836.58+6779.71+1540.21</f>
        <v>9327.77</v>
      </c>
      <c r="J203" s="18">
        <f>189.98+72.77</f>
        <v>262.75</v>
      </c>
      <c r="K203" s="18"/>
      <c r="L203" s="19">
        <f t="shared" si="0"/>
        <v>135500.61000000002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1550+500+178064.6</f>
        <v>180114.6</v>
      </c>
      <c r="G204" s="18">
        <f>1785-255.75+9549.43+291.94+493.15+848.02+13453.97+5172.38+1799.72</f>
        <v>33137.86</v>
      </c>
      <c r="H204" s="18">
        <f>9100+6000+773.93+6776.16+22670.22+833.27+3426.4+2882.72</f>
        <v>52462.7</v>
      </c>
      <c r="I204" s="18">
        <f>746.04+1162.55</f>
        <v>1908.59</v>
      </c>
      <c r="J204" s="18">
        <f>2182</f>
        <v>2182</v>
      </c>
      <c r="K204" s="18">
        <f>3546.18+1170.38+6380.28</f>
        <v>11096.84</v>
      </c>
      <c r="L204" s="19">
        <f t="shared" si="0"/>
        <v>280902.59000000008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99760+65384.6</f>
        <v>165144.6</v>
      </c>
      <c r="G205" s="18">
        <f>38321.42+2687.58+442.58+756.32+12030.04+22935.89+4840.42+230.7+16.65-14.86+6701.58+5347.07</f>
        <v>94295.389999999985</v>
      </c>
      <c r="H205" s="18">
        <f>10182.13+4037.97+1218.85+2069.36+1774.63+563.28</f>
        <v>19846.219999999998</v>
      </c>
      <c r="I205" s="18">
        <f>1096.51</f>
        <v>1096.51</v>
      </c>
      <c r="J205" s="18">
        <f>139+750</f>
        <v>889</v>
      </c>
      <c r="K205" s="18">
        <v>3287.56</v>
      </c>
      <c r="L205" s="19">
        <f t="shared" si="0"/>
        <v>284559.27999999997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102726.63</f>
        <v>102726.63</v>
      </c>
      <c r="G207" s="18">
        <f>-3326.79+291.9+475.24+1250.08+7338.19+10273.7+4871.96</f>
        <v>21174.28</v>
      </c>
      <c r="H207" s="18">
        <f>21542.63+4500+7527.5+82624.58+11678+372.94</f>
        <v>128245.65000000001</v>
      </c>
      <c r="I207" s="18">
        <f>14763.48+28029.6+8842.8</f>
        <v>51635.880000000005</v>
      </c>
      <c r="J207" s="18">
        <f>7475</f>
        <v>7475</v>
      </c>
      <c r="K207" s="18">
        <f>679.04</f>
        <v>679.04</v>
      </c>
      <c r="L207" s="19">
        <f t="shared" si="0"/>
        <v>311936.48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36098.63+7438.43+3304.01+169093.28-7219.73-48231.68</f>
        <v>160482.94</v>
      </c>
      <c r="I208" s="18"/>
      <c r="J208" s="18"/>
      <c r="K208" s="18"/>
      <c r="L208" s="19">
        <f t="shared" si="0"/>
        <v>160482.94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2318227.29</v>
      </c>
      <c r="G211" s="41">
        <f t="shared" si="1"/>
        <v>1118148.68</v>
      </c>
      <c r="H211" s="41">
        <f t="shared" si="1"/>
        <v>862211.19</v>
      </c>
      <c r="I211" s="41">
        <f t="shared" si="1"/>
        <v>123194.12000000001</v>
      </c>
      <c r="J211" s="41">
        <f t="shared" si="1"/>
        <v>53044.59</v>
      </c>
      <c r="K211" s="41">
        <f t="shared" si="1"/>
        <v>27990.850000000002</v>
      </c>
      <c r="L211" s="41">
        <f t="shared" si="1"/>
        <v>4502816.72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1188089.92</v>
      </c>
      <c r="I233" s="18"/>
      <c r="J233" s="18"/>
      <c r="K233" s="18"/>
      <c r="L233" s="19">
        <f>SUM(F233:K233)</f>
        <v>1188089.92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18466.37</v>
      </c>
      <c r="I234" s="18"/>
      <c r="J234" s="18"/>
      <c r="K234" s="18"/>
      <c r="L234" s="19">
        <f>SUM(F234:K234)</f>
        <v>18466.37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7219.73+48231.68</f>
        <v>55451.41</v>
      </c>
      <c r="I244" s="18"/>
      <c r="J244" s="18"/>
      <c r="K244" s="18"/>
      <c r="L244" s="19">
        <f t="shared" si="4"/>
        <v>55451.41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1262007.7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1262007.7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32843.01+8500</f>
        <v>41343.01</v>
      </c>
      <c r="I255" s="18">
        <f>1307.04</f>
        <v>1307.04</v>
      </c>
      <c r="J255" s="18">
        <f>19049.95</f>
        <v>19049.95</v>
      </c>
      <c r="K255" s="18"/>
      <c r="L255" s="19">
        <f t="shared" si="6"/>
        <v>61700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41343.01</v>
      </c>
      <c r="I256" s="41">
        <f t="shared" si="7"/>
        <v>1307.04</v>
      </c>
      <c r="J256" s="41">
        <f t="shared" si="7"/>
        <v>19049.95</v>
      </c>
      <c r="K256" s="41">
        <f t="shared" si="7"/>
        <v>0</v>
      </c>
      <c r="L256" s="41">
        <f>SUM(F256:K256)</f>
        <v>61700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2318227.29</v>
      </c>
      <c r="G257" s="41">
        <f t="shared" si="8"/>
        <v>1118148.68</v>
      </c>
      <c r="H257" s="41">
        <f t="shared" si="8"/>
        <v>2165561.8999999994</v>
      </c>
      <c r="I257" s="41">
        <f t="shared" si="8"/>
        <v>124501.16</v>
      </c>
      <c r="J257" s="41">
        <f t="shared" si="8"/>
        <v>72094.539999999994</v>
      </c>
      <c r="K257" s="41">
        <f t="shared" si="8"/>
        <v>27990.850000000002</v>
      </c>
      <c r="L257" s="41">
        <f t="shared" si="8"/>
        <v>5826524.4199999999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</v>
      </c>
      <c r="L260" s="19">
        <f>SUM(F260:K260)</f>
        <v>85000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20687.5</v>
      </c>
      <c r="L261" s="19">
        <f>SUM(F261:K261)</f>
        <v>20687.5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25666.38</v>
      </c>
      <c r="L263" s="19">
        <f>SUM(F263:K263)</f>
        <v>25666.38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181353.88</v>
      </c>
      <c r="L270" s="41">
        <f t="shared" si="9"/>
        <v>181353.88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2318227.29</v>
      </c>
      <c r="G271" s="42">
        <f t="shared" si="11"/>
        <v>1118148.68</v>
      </c>
      <c r="H271" s="42">
        <f t="shared" si="11"/>
        <v>2165561.8999999994</v>
      </c>
      <c r="I271" s="42">
        <f t="shared" si="11"/>
        <v>124501.16</v>
      </c>
      <c r="J271" s="42">
        <f t="shared" si="11"/>
        <v>72094.539999999994</v>
      </c>
      <c r="K271" s="42">
        <f t="shared" si="11"/>
        <v>209344.73</v>
      </c>
      <c r="L271" s="42">
        <f t="shared" si="11"/>
        <v>6007878.2999999998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6267.63+22828.65</f>
        <v>29096.280000000002</v>
      </c>
      <c r="G276" s="18"/>
      <c r="H276" s="18">
        <f>5950</f>
        <v>5950</v>
      </c>
      <c r="I276" s="18">
        <f>2300+1</f>
        <v>2301</v>
      </c>
      <c r="J276" s="18"/>
      <c r="K276" s="18">
        <v>499</v>
      </c>
      <c r="L276" s="19">
        <f>SUM(F276:K276)</f>
        <v>37846.28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14200+1500</f>
        <v>15700</v>
      </c>
      <c r="G277" s="18"/>
      <c r="H277" s="18">
        <f>1115+2999.75+32283.98+3692.11-231.64</f>
        <v>39859.199999999997</v>
      </c>
      <c r="I277" s="18">
        <f>502.8</f>
        <v>502.8</v>
      </c>
      <c r="J277" s="18">
        <f>80.79+1060.86</f>
        <v>1141.6499999999999</v>
      </c>
      <c r="K277" s="18"/>
      <c r="L277" s="19">
        <f>SUM(F277:K277)</f>
        <v>57203.65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44796.28</v>
      </c>
      <c r="G290" s="42">
        <f t="shared" si="13"/>
        <v>0</v>
      </c>
      <c r="H290" s="42">
        <f t="shared" si="13"/>
        <v>45809.2</v>
      </c>
      <c r="I290" s="42">
        <f t="shared" si="13"/>
        <v>2803.8</v>
      </c>
      <c r="J290" s="42">
        <f t="shared" si="13"/>
        <v>1141.6499999999999</v>
      </c>
      <c r="K290" s="42">
        <f t="shared" si="13"/>
        <v>499</v>
      </c>
      <c r="L290" s="41">
        <f t="shared" si="13"/>
        <v>95049.93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0</v>
      </c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44796.28</v>
      </c>
      <c r="G338" s="41">
        <f t="shared" si="20"/>
        <v>0</v>
      </c>
      <c r="H338" s="41">
        <f t="shared" si="20"/>
        <v>45809.2</v>
      </c>
      <c r="I338" s="41">
        <f t="shared" si="20"/>
        <v>2803.8</v>
      </c>
      <c r="J338" s="41">
        <f t="shared" si="20"/>
        <v>1141.6499999999999</v>
      </c>
      <c r="K338" s="41">
        <f t="shared" si="20"/>
        <v>499</v>
      </c>
      <c r="L338" s="41">
        <f t="shared" si="20"/>
        <v>95049.93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44796.28</v>
      </c>
      <c r="G352" s="41">
        <f>G338</f>
        <v>0</v>
      </c>
      <c r="H352" s="41">
        <f>H338</f>
        <v>45809.2</v>
      </c>
      <c r="I352" s="41">
        <f>I338</f>
        <v>2803.8</v>
      </c>
      <c r="J352" s="41">
        <f>J338</f>
        <v>1141.6499999999999</v>
      </c>
      <c r="K352" s="47">
        <f>K338+K351</f>
        <v>499</v>
      </c>
      <c r="L352" s="41">
        <f>L338+L351</f>
        <v>95049.93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14972</f>
        <v>14972</v>
      </c>
      <c r="G358" s="18">
        <f>47.33+82.92+1145.3</f>
        <v>1275.55</v>
      </c>
      <c r="H358" s="18">
        <f>33646.78+7803</f>
        <v>41449.78</v>
      </c>
      <c r="I358" s="18">
        <f>1210.15+4100.15</f>
        <v>5310.2999999999993</v>
      </c>
      <c r="J358" s="18"/>
      <c r="K358" s="18"/>
      <c r="L358" s="13">
        <f>SUM(F358:K358)</f>
        <v>63007.630000000005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14972</v>
      </c>
      <c r="G362" s="47">
        <f t="shared" si="22"/>
        <v>1275.55</v>
      </c>
      <c r="H362" s="47">
        <f t="shared" si="22"/>
        <v>41449.78</v>
      </c>
      <c r="I362" s="47">
        <f t="shared" si="22"/>
        <v>5310.2999999999993</v>
      </c>
      <c r="J362" s="47">
        <f t="shared" si="22"/>
        <v>0</v>
      </c>
      <c r="K362" s="47">
        <f t="shared" si="22"/>
        <v>0</v>
      </c>
      <c r="L362" s="47">
        <f t="shared" si="22"/>
        <v>63007.630000000005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4100.15</f>
        <v>4100.1499999999996</v>
      </c>
      <c r="G367" s="18"/>
      <c r="H367" s="18"/>
      <c r="I367" s="56">
        <f>SUM(F367:H367)</f>
        <v>4100.1499999999996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I358-F367</f>
        <v>1210.1499999999996</v>
      </c>
      <c r="G368" s="63"/>
      <c r="H368" s="63"/>
      <c r="I368" s="56">
        <f>SUM(F368:H368)</f>
        <v>1210.1499999999996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5310.2999999999993</v>
      </c>
      <c r="G369" s="47">
        <f>SUM(G367:G368)</f>
        <v>0</v>
      </c>
      <c r="H369" s="47">
        <f>SUM(H367:H368)</f>
        <v>0</v>
      </c>
      <c r="I369" s="47">
        <f>SUM(I367:I368)</f>
        <v>5310.2999999999993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275.79000000000002</v>
      </c>
      <c r="I395" s="18"/>
      <c r="J395" s="24" t="s">
        <v>289</v>
      </c>
      <c r="K395" s="24" t="s">
        <v>289</v>
      </c>
      <c r="L395" s="56">
        <f t="shared" ref="L395:L400" si="26">SUM(F395:K395)</f>
        <v>275.79000000000002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173.87</v>
      </c>
      <c r="I396" s="18"/>
      <c r="J396" s="24" t="s">
        <v>289</v>
      </c>
      <c r="K396" s="24" t="s">
        <v>289</v>
      </c>
      <c r="L396" s="56">
        <f t="shared" si="26"/>
        <v>173.87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50000</v>
      </c>
      <c r="H397" s="18">
        <v>1170.07</v>
      </c>
      <c r="I397" s="18"/>
      <c r="J397" s="24" t="s">
        <v>289</v>
      </c>
      <c r="K397" s="24" t="s">
        <v>289</v>
      </c>
      <c r="L397" s="56">
        <f t="shared" si="26"/>
        <v>51170.07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49.19</v>
      </c>
      <c r="I400" s="18"/>
      <c r="J400" s="24" t="s">
        <v>289</v>
      </c>
      <c r="K400" s="24" t="s">
        <v>289</v>
      </c>
      <c r="L400" s="56">
        <f t="shared" si="26"/>
        <v>49.19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1668.92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51668.920000000006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1668.92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51668.920000000006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24375</v>
      </c>
      <c r="L422" s="56">
        <f t="shared" si="29"/>
        <v>24375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f>60789.09+39477.88-14416.34</f>
        <v>85850.63</v>
      </c>
      <c r="L423" s="56">
        <f t="shared" si="29"/>
        <v>85850.63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15177.46</v>
      </c>
      <c r="L426" s="56">
        <f t="shared" si="29"/>
        <v>15177.46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125403.09</v>
      </c>
      <c r="L427" s="47">
        <f t="shared" si="30"/>
        <v>125403.09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125403.09</v>
      </c>
      <c r="L434" s="47">
        <f t="shared" si="32"/>
        <v>125403.09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41165.300000000003</v>
      </c>
      <c r="G440" s="18">
        <f>50144.18+231938.19</f>
        <v>282082.37</v>
      </c>
      <c r="H440" s="18"/>
      <c r="I440" s="56">
        <f t="shared" si="33"/>
        <v>323247.67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41165.300000000003</v>
      </c>
      <c r="G446" s="13">
        <f>SUM(G439:G445)</f>
        <v>282082.37</v>
      </c>
      <c r="H446" s="13">
        <f>SUM(H439:H445)</f>
        <v>0</v>
      </c>
      <c r="I446" s="13">
        <f>SUM(I439:I445)</f>
        <v>323247.67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f>39477.88-14416.34</f>
        <v>25061.539999999997</v>
      </c>
      <c r="H449" s="18"/>
      <c r="I449" s="56">
        <f>SUM(F449:H449)</f>
        <v>25061.539999999997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25061.539999999997</v>
      </c>
      <c r="H452" s="72">
        <f>SUM(H448:H451)</f>
        <v>0</v>
      </c>
      <c r="I452" s="72">
        <f>SUM(I448:I451)</f>
        <v>25061.539999999997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F446-F452</f>
        <v>41165.300000000003</v>
      </c>
      <c r="G459" s="18">
        <f>G446-G452</f>
        <v>257020.83</v>
      </c>
      <c r="H459" s="18"/>
      <c r="I459" s="56">
        <f t="shared" si="34"/>
        <v>298186.13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41165.300000000003</v>
      </c>
      <c r="G460" s="83">
        <f>SUM(G454:G459)</f>
        <v>257020.83</v>
      </c>
      <c r="H460" s="83">
        <f>SUM(H454:H459)</f>
        <v>0</v>
      </c>
      <c r="I460" s="83">
        <f>SUM(I454:I459)</f>
        <v>298186.13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41165.300000000003</v>
      </c>
      <c r="G461" s="42">
        <f>G452+G460</f>
        <v>282082.37</v>
      </c>
      <c r="H461" s="42">
        <f>H452+H460</f>
        <v>0</v>
      </c>
      <c r="I461" s="42">
        <f>I452+I460</f>
        <v>323247.67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44">
        <v>256530.85000000056</v>
      </c>
      <c r="G465" s="144">
        <v>2346.75</v>
      </c>
      <c r="H465" s="144">
        <v>0</v>
      </c>
      <c r="I465" s="144">
        <v>0</v>
      </c>
      <c r="J465" s="144">
        <v>371920.3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5774916.3199999994</v>
      </c>
      <c r="G468" s="18">
        <f>G193</f>
        <v>63007.630000000005</v>
      </c>
      <c r="H468" s="18">
        <f>H193</f>
        <v>95281.57</v>
      </c>
      <c r="I468" s="18"/>
      <c r="J468" s="18">
        <f>J193</f>
        <v>51668.92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5774916.3199999994</v>
      </c>
      <c r="G470" s="53">
        <f>SUM(G468:G469)</f>
        <v>63007.630000000005</v>
      </c>
      <c r="H470" s="53">
        <f>SUM(H468:H469)</f>
        <v>95281.57</v>
      </c>
      <c r="I470" s="53">
        <f>SUM(I468:I469)</f>
        <v>0</v>
      </c>
      <c r="J470" s="53">
        <f>SUM(J468:J469)</f>
        <v>51668.92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6007878.2999999998</v>
      </c>
      <c r="G472" s="18">
        <f>L362</f>
        <v>63007.630000000005</v>
      </c>
      <c r="H472" s="18">
        <f>L352</f>
        <v>95049.93</v>
      </c>
      <c r="I472" s="18"/>
      <c r="J472" s="18">
        <f>L434</f>
        <v>125403.09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6007878.2999999998</v>
      </c>
      <c r="G474" s="53">
        <f>SUM(G472:G473)</f>
        <v>63007.630000000005</v>
      </c>
      <c r="H474" s="53">
        <f>SUM(H472:H473)</f>
        <v>95049.93</v>
      </c>
      <c r="I474" s="53">
        <f>SUM(I472:I473)</f>
        <v>0</v>
      </c>
      <c r="J474" s="53">
        <f>SUM(J472:J473)</f>
        <v>125403.09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23568.870000000112</v>
      </c>
      <c r="G476" s="53">
        <f>(G465+G470)- G474</f>
        <v>2346.75</v>
      </c>
      <c r="H476" s="53">
        <f>(H465+H470)- H474</f>
        <v>231.64000000001397</v>
      </c>
      <c r="I476" s="53">
        <f>(I465+I470)- I474</f>
        <v>0</v>
      </c>
      <c r="J476" s="53">
        <f>(J465+J470)- J474</f>
        <v>298186.13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5">
        <v>10</v>
      </c>
      <c r="G490" s="275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314800</v>
      </c>
      <c r="G493" s="18">
        <v>543500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</v>
      </c>
      <c r="G494" s="18">
        <v>2.33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180000</v>
      </c>
      <c r="G495" s="18">
        <v>430000</v>
      </c>
      <c r="H495" s="18"/>
      <c r="I495" s="18"/>
      <c r="J495" s="18"/>
      <c r="K495" s="53">
        <f>SUM(F495:J495)</f>
        <v>610000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30000</v>
      </c>
      <c r="G497" s="18">
        <v>55000</v>
      </c>
      <c r="H497" s="18"/>
      <c r="I497" s="18"/>
      <c r="J497" s="18"/>
      <c r="K497" s="53">
        <f t="shared" si="35"/>
        <v>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150000</v>
      </c>
      <c r="G498" s="204">
        <f>G495-G497</f>
        <v>375000</v>
      </c>
      <c r="H498" s="204"/>
      <c r="I498" s="204"/>
      <c r="J498" s="204"/>
      <c r="K498" s="205">
        <f t="shared" si="35"/>
        <v>525000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6000+4800+3600+2400+1200</f>
        <v>18000</v>
      </c>
      <c r="G499" s="18">
        <f>6331.25+5506.25+5506.25+4956.25+4956.25+3856.25+3856.25+6200+4000+2000</f>
        <v>47168.75</v>
      </c>
      <c r="H499" s="18"/>
      <c r="I499" s="18"/>
      <c r="J499" s="18"/>
      <c r="K499" s="53">
        <f t="shared" si="35"/>
        <v>65168.75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168000</v>
      </c>
      <c r="G500" s="42">
        <f>SUM(G498:G499)</f>
        <v>422168.75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590168.75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30000</v>
      </c>
      <c r="G501" s="204">
        <v>55000</v>
      </c>
      <c r="H501" s="204"/>
      <c r="I501" s="204"/>
      <c r="J501" s="204"/>
      <c r="K501" s="205">
        <f t="shared" si="35"/>
        <v>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6000</v>
      </c>
      <c r="G502" s="18">
        <f>6331.25+5506.25</f>
        <v>11837.5</v>
      </c>
      <c r="H502" s="18"/>
      <c r="I502" s="18"/>
      <c r="J502" s="18"/>
      <c r="K502" s="53">
        <f t="shared" si="35"/>
        <v>17837.5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36000</v>
      </c>
      <c r="G503" s="42">
        <f>SUM(G501:G502)</f>
        <v>66837.5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102837.5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</f>
        <v>402480.26</v>
      </c>
      <c r="G521" s="18">
        <f t="shared" ref="G521:K521" si="36">G198+G277</f>
        <v>293417.48000000004</v>
      </c>
      <c r="H521" s="18">
        <f>H198+H277-4031.45-57143.26-3124-1773.52-18466.37</f>
        <v>337112.44999999995</v>
      </c>
      <c r="I521" s="18">
        <f t="shared" si="36"/>
        <v>1135.01</v>
      </c>
      <c r="J521" s="18">
        <f t="shared" si="36"/>
        <v>1728.1399999999999</v>
      </c>
      <c r="K521" s="18">
        <f t="shared" si="36"/>
        <v>1740.99</v>
      </c>
      <c r="L521" s="88">
        <f>SUM(F521:K521)</f>
        <v>1037614.33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18466.37</v>
      </c>
      <c r="I523" s="18"/>
      <c r="J523" s="18"/>
      <c r="K523" s="18"/>
      <c r="L523" s="88">
        <f>SUM(F523:K523)</f>
        <v>18466.37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402480.26</v>
      </c>
      <c r="G524" s="108">
        <f t="shared" ref="G524:L524" si="37">SUM(G521:G523)</f>
        <v>293417.48000000004</v>
      </c>
      <c r="H524" s="108">
        <f t="shared" si="37"/>
        <v>355578.81999999995</v>
      </c>
      <c r="I524" s="108">
        <f t="shared" si="37"/>
        <v>1135.01</v>
      </c>
      <c r="J524" s="108">
        <f t="shared" si="37"/>
        <v>1728.1399999999999</v>
      </c>
      <c r="K524" s="108">
        <f t="shared" si="37"/>
        <v>1740.99</v>
      </c>
      <c r="L524" s="89">
        <f t="shared" si="37"/>
        <v>1056080.7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1773.52+3124+57143.26</f>
        <v>62040.78</v>
      </c>
      <c r="I526" s="18"/>
      <c r="J526" s="18"/>
      <c r="K526" s="18"/>
      <c r="L526" s="88">
        <f>SUM(F526:K526)</f>
        <v>62040.78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62040.78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62040.78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4031.45</v>
      </c>
      <c r="I536" s="18"/>
      <c r="J536" s="18"/>
      <c r="K536" s="18"/>
      <c r="L536" s="88">
        <f>SUM(F536:K536)</f>
        <v>4031.45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4031.45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4031.45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36098.63-7219.73</f>
        <v>28878.899999999998</v>
      </c>
      <c r="I541" s="18"/>
      <c r="J541" s="18"/>
      <c r="K541" s="18"/>
      <c r="L541" s="88">
        <f>SUM(F541:K541)</f>
        <v>28878.899999999998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7219.73</v>
      </c>
      <c r="I543" s="18"/>
      <c r="J543" s="18"/>
      <c r="K543" s="18"/>
      <c r="L543" s="88">
        <f>SUM(F543:K543)</f>
        <v>7219.73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36098.629999999997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36098.629999999997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402480.26</v>
      </c>
      <c r="G545" s="89">
        <f t="shared" ref="G545:L545" si="42">G524+G529+G534+G539+G544</f>
        <v>293417.48000000004</v>
      </c>
      <c r="H545" s="89">
        <f t="shared" si="42"/>
        <v>457749.68</v>
      </c>
      <c r="I545" s="89">
        <f t="shared" si="42"/>
        <v>1135.01</v>
      </c>
      <c r="J545" s="89">
        <f t="shared" si="42"/>
        <v>1728.1399999999999</v>
      </c>
      <c r="K545" s="89">
        <f t="shared" si="42"/>
        <v>1740.99</v>
      </c>
      <c r="L545" s="89">
        <f t="shared" si="42"/>
        <v>1158251.5599999998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1037614.33</v>
      </c>
      <c r="G549" s="87">
        <f>L526</f>
        <v>62040.78</v>
      </c>
      <c r="H549" s="87">
        <f>L531</f>
        <v>0</v>
      </c>
      <c r="I549" s="87">
        <f>L536</f>
        <v>4031.45</v>
      </c>
      <c r="J549" s="87">
        <f>L541</f>
        <v>28878.899999999998</v>
      </c>
      <c r="K549" s="87">
        <f>SUM(F549:J549)</f>
        <v>1132565.4599999997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18466.37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7219.73</v>
      </c>
      <c r="K551" s="87">
        <f>SUM(F551:J551)</f>
        <v>25686.1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1056080.7</v>
      </c>
      <c r="G552" s="89">
        <f t="shared" si="43"/>
        <v>62040.78</v>
      </c>
      <c r="H552" s="89">
        <f t="shared" si="43"/>
        <v>0</v>
      </c>
      <c r="I552" s="89">
        <f t="shared" si="43"/>
        <v>4031.45</v>
      </c>
      <c r="J552" s="89">
        <f t="shared" si="43"/>
        <v>36098.629999999997</v>
      </c>
      <c r="K552" s="89">
        <f t="shared" si="43"/>
        <v>1158251.5599999998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1188089.92</v>
      </c>
      <c r="I575" s="87">
        <f>SUM(F575:H575)</f>
        <v>1188089.92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/>
      <c r="H580" s="18">
        <v>18466.37</v>
      </c>
      <c r="I580" s="87">
        <f t="shared" si="48"/>
        <v>18466.37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10480</v>
      </c>
      <c r="G582" s="18"/>
      <c r="H582" s="18"/>
      <c r="I582" s="87">
        <f t="shared" si="48"/>
        <v>10480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f>250694.27</f>
        <v>250694.27</v>
      </c>
      <c r="G583" s="18"/>
      <c r="H583" s="18"/>
      <c r="I583" s="87">
        <f t="shared" si="48"/>
        <v>250694.27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169093.28-J591</f>
        <v>120861.6</v>
      </c>
      <c r="I591" s="18"/>
      <c r="J591" s="18">
        <v>48231.68</v>
      </c>
      <c r="K591" s="104">
        <f t="shared" ref="K591:K597" si="49">SUM(H591:J591)</f>
        <v>169093.28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36098.63-7219.73</f>
        <v>28878.899999999998</v>
      </c>
      <c r="I592" s="18"/>
      <c r="J592" s="18">
        <v>7219.73</v>
      </c>
      <c r="K592" s="104">
        <f t="shared" si="49"/>
        <v>36098.629999999997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3304.01</v>
      </c>
      <c r="I594" s="18"/>
      <c r="J594" s="18"/>
      <c r="K594" s="104">
        <f t="shared" si="49"/>
        <v>3304.01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7438.43</f>
        <v>7438.43</v>
      </c>
      <c r="I595" s="18"/>
      <c r="J595" s="18"/>
      <c r="K595" s="104">
        <f t="shared" si="49"/>
        <v>7438.43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160482.94</v>
      </c>
      <c r="I598" s="108">
        <f>SUM(I591:I597)</f>
        <v>0</v>
      </c>
      <c r="J598" s="108">
        <f>SUM(J591:J597)</f>
        <v>55451.41</v>
      </c>
      <c r="K598" s="108">
        <f>SUM(K591:K597)</f>
        <v>215934.35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977.62+5062.67+4413.07+586.49+4999.99+23953+2243+189.98+72.77+2182+139+750+7475+80.79+1060.86</f>
        <v>54186.239999999998</v>
      </c>
      <c r="I604" s="18"/>
      <c r="J604" s="18"/>
      <c r="K604" s="104">
        <f>SUM(H604:J604)</f>
        <v>54186.239999999998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54186.239999999998</v>
      </c>
      <c r="I605" s="108">
        <f>SUM(I602:I604)</f>
        <v>0</v>
      </c>
      <c r="J605" s="108">
        <f>SUM(J602:J604)</f>
        <v>0</v>
      </c>
      <c r="K605" s="108">
        <f>SUM(K602:K604)</f>
        <v>54186.239999999998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188739.03</v>
      </c>
      <c r="H617" s="109">
        <f>SUM(F52)</f>
        <v>188739.03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5798.33</v>
      </c>
      <c r="H618" s="109">
        <f>SUM(G52)</f>
        <v>5798.33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21083.91</v>
      </c>
      <c r="H619" s="109">
        <f>SUM(H52)</f>
        <v>21083.91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323247.67</v>
      </c>
      <c r="H621" s="109">
        <f>SUM(J52)</f>
        <v>323247.67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23568.87</v>
      </c>
      <c r="H622" s="109">
        <f>F476</f>
        <v>23568.870000000112</v>
      </c>
      <c r="I622" s="121" t="s">
        <v>101</v>
      </c>
      <c r="J622" s="109">
        <f t="shared" ref="J622:J655" si="51">G622-H622</f>
        <v>-1.127773430198431E-10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2346.75</v>
      </c>
      <c r="H623" s="109">
        <f>G476</f>
        <v>2346.75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231.63999999999942</v>
      </c>
      <c r="H624" s="109">
        <f>H476</f>
        <v>231.64000000001397</v>
      </c>
      <c r="I624" s="121" t="s">
        <v>103</v>
      </c>
      <c r="J624" s="109">
        <f t="shared" si="51"/>
        <v>-1.4551915228366852E-11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298186.13</v>
      </c>
      <c r="H626" s="109">
        <f>J476</f>
        <v>298186.13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5774916.3199999994</v>
      </c>
      <c r="H627" s="104">
        <f>SUM(F468)</f>
        <v>5774916.3199999994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63007.630000000005</v>
      </c>
      <c r="H628" s="104">
        <f>SUM(G468)</f>
        <v>63007.630000000005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95281.57</v>
      </c>
      <c r="H629" s="104">
        <f>SUM(H468)</f>
        <v>95281.57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51668.92</v>
      </c>
      <c r="H631" s="104">
        <f>SUM(J468)</f>
        <v>51668.92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6007878.2999999998</v>
      </c>
      <c r="H632" s="104">
        <f>SUM(F472)</f>
        <v>6007878.2999999998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95049.93</v>
      </c>
      <c r="H633" s="104">
        <f>SUM(H472)</f>
        <v>95049.93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5310.2999999999993</v>
      </c>
      <c r="H634" s="104">
        <f>I369</f>
        <v>5310.2999999999993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63007.630000000005</v>
      </c>
      <c r="H635" s="104">
        <f>SUM(G472)</f>
        <v>63007.630000000005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51668.920000000006</v>
      </c>
      <c r="H637" s="164">
        <f>SUM(J468)</f>
        <v>51668.92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125403.09</v>
      </c>
      <c r="H638" s="164">
        <f>SUM(J472)</f>
        <v>125403.09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41165.300000000003</v>
      </c>
      <c r="H639" s="104">
        <f>SUM(F461)</f>
        <v>41165.300000000003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282082.37</v>
      </c>
      <c r="H640" s="104">
        <f>SUM(G461)</f>
        <v>282082.37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323247.67</v>
      </c>
      <c r="H642" s="104">
        <f>SUM(I461)</f>
        <v>323247.67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1668.92</v>
      </c>
      <c r="H644" s="104">
        <f>H408</f>
        <v>1668.92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51668.92</v>
      </c>
      <c r="H646" s="104">
        <f>L408</f>
        <v>51668.920000000006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215934.35</v>
      </c>
      <c r="H647" s="104">
        <f>L208+L226+L244</f>
        <v>215934.35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54186.239999999998</v>
      </c>
      <c r="H648" s="104">
        <f>(J257+J338)-(J255+J336)</f>
        <v>54186.239999999991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160482.94</v>
      </c>
      <c r="H649" s="104">
        <f>H598</f>
        <v>160482.94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55451.41</v>
      </c>
      <c r="H651" s="104">
        <f>J598</f>
        <v>55451.41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25666.38</v>
      </c>
      <c r="H652" s="104">
        <f>K263+K345</f>
        <v>25666.38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4660874.2799999993</v>
      </c>
      <c r="G660" s="19">
        <f>(L229+L309+L359)</f>
        <v>0</v>
      </c>
      <c r="H660" s="19">
        <f>(L247+L328+L360)</f>
        <v>1262007.7</v>
      </c>
      <c r="I660" s="19">
        <f>SUM(F660:H660)</f>
        <v>5922881.9799999995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27291.38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27291.38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160482.94</v>
      </c>
      <c r="G662" s="19">
        <f>(L226+L306)-(J226+J306)</f>
        <v>0</v>
      </c>
      <c r="H662" s="19">
        <f>(L244+L325)-(J244+J325)</f>
        <v>55451.41</v>
      </c>
      <c r="I662" s="19">
        <f>SUM(F662:H662)</f>
        <v>215934.35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315360.51</v>
      </c>
      <c r="G663" s="199">
        <f>SUM(G575:G587)+SUM(I602:I604)+L612</f>
        <v>0</v>
      </c>
      <c r="H663" s="199">
        <f>SUM(H575:H587)+SUM(J602:J604)+L613</f>
        <v>1206556.29</v>
      </c>
      <c r="I663" s="19">
        <f>SUM(F663:H663)</f>
        <v>1521916.8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4157739.4499999993</v>
      </c>
      <c r="G664" s="19">
        <f>G660-SUM(G661:G663)</f>
        <v>0</v>
      </c>
      <c r="H664" s="19">
        <f>H660-SUM(H661:H663)</f>
        <v>0</v>
      </c>
      <c r="I664" s="19">
        <f>I660-SUM(I661:I663)</f>
        <v>4157739.4499999993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212.17</v>
      </c>
      <c r="G665" s="248"/>
      <c r="H665" s="248"/>
      <c r="I665" s="19">
        <f>SUM(F665:H665)</f>
        <v>212.17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19596.259999999998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19596.259999999998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19596.259999999998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19596.259999999998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40" sqref="F4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Plainfield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1298486.68</v>
      </c>
      <c r="C9" s="229">
        <f>'DOE25'!G197+'DOE25'!G215+'DOE25'!G233+'DOE25'!G276+'DOE25'!G295+'DOE25'!G314</f>
        <v>576754.02</v>
      </c>
    </row>
    <row r="10" spans="1:3" x14ac:dyDescent="0.2">
      <c r="A10" t="s">
        <v>779</v>
      </c>
      <c r="B10" s="240">
        <f>1223555.16+6267.63</f>
        <v>1229822.7899999998</v>
      </c>
      <c r="C10" s="240">
        <v>546255.30546075047</v>
      </c>
    </row>
    <row r="11" spans="1:3" x14ac:dyDescent="0.2">
      <c r="A11" t="s">
        <v>780</v>
      </c>
      <c r="B11" s="240">
        <f>27864.83+22828.65</f>
        <v>50693.48</v>
      </c>
      <c r="C11" s="240">
        <v>22516.725683924305</v>
      </c>
    </row>
    <row r="12" spans="1:3" x14ac:dyDescent="0.2">
      <c r="A12" t="s">
        <v>781</v>
      </c>
      <c r="B12" s="240">
        <v>17970.41</v>
      </c>
      <c r="C12" s="240">
        <v>7981.9888553251858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1298486.6799999997</v>
      </c>
      <c r="C13" s="231">
        <f>SUM(C10:C12)</f>
        <v>576754.0199999999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402480.26</v>
      </c>
      <c r="C18" s="229">
        <f>'DOE25'!G198+'DOE25'!G216+'DOE25'!G234+'DOE25'!G277+'DOE25'!G296+'DOE25'!G315</f>
        <v>293417.48000000004</v>
      </c>
    </row>
    <row r="19" spans="1:3" x14ac:dyDescent="0.2">
      <c r="A19" t="s">
        <v>779</v>
      </c>
      <c r="B19" s="240">
        <f>187878.66+5087.15+1500</f>
        <v>194465.81</v>
      </c>
      <c r="C19" s="240">
        <v>141770.1030017194</v>
      </c>
    </row>
    <row r="20" spans="1:3" x14ac:dyDescent="0.2">
      <c r="A20" t="s">
        <v>780</v>
      </c>
      <c r="B20" s="240">
        <f>179210.56+14200</f>
        <v>193410.56</v>
      </c>
      <c r="C20" s="240">
        <v>141000.80118361284</v>
      </c>
    </row>
    <row r="21" spans="1:3" x14ac:dyDescent="0.2">
      <c r="A21" t="s">
        <v>781</v>
      </c>
      <c r="B21" s="240">
        <v>14603.89</v>
      </c>
      <c r="C21" s="240">
        <v>10646.575814667782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402480.26</v>
      </c>
      <c r="C22" s="231">
        <f>SUM(C19:C21)</f>
        <v>293417.48000000004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25170</v>
      </c>
      <c r="C36" s="235">
        <f>'DOE25'!G200+'DOE25'!G218+'DOE25'!G236+'DOE25'!G279+'DOE25'!G298+'DOE25'!G317</f>
        <v>3668.4</v>
      </c>
    </row>
    <row r="37" spans="1:3" x14ac:dyDescent="0.2">
      <c r="A37" t="s">
        <v>779</v>
      </c>
      <c r="B37" s="240">
        <v>14800</v>
      </c>
      <c r="C37" s="240">
        <v>2157.025029797378</v>
      </c>
    </row>
    <row r="38" spans="1:3" x14ac:dyDescent="0.2">
      <c r="A38" t="s">
        <v>780</v>
      </c>
      <c r="B38" s="240"/>
      <c r="C38" s="240">
        <v>0</v>
      </c>
    </row>
    <row r="39" spans="1:3" x14ac:dyDescent="0.2">
      <c r="A39" t="s">
        <v>781</v>
      </c>
      <c r="B39" s="240">
        <f>5500+4870</f>
        <v>10370</v>
      </c>
      <c r="C39" s="240">
        <v>1511.3749702026221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25170</v>
      </c>
      <c r="C40" s="231">
        <f>SUM(C37:C39)</f>
        <v>3668.4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Plainfield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4233556</v>
      </c>
      <c r="D5" s="20">
        <f>SUM('DOE25'!L197:L200)+SUM('DOE25'!L215:L218)+SUM('DOE25'!L233:L236)-F5-G5</f>
        <v>4209917.6900000004</v>
      </c>
      <c r="E5" s="243"/>
      <c r="F5" s="255">
        <f>SUM('DOE25'!J197:J200)+SUM('DOE25'!J215:J218)+SUM('DOE25'!J233:J236)</f>
        <v>11039.85</v>
      </c>
      <c r="G5" s="53">
        <f>SUM('DOE25'!K197:K200)+SUM('DOE25'!K215:K218)+SUM('DOE25'!K233:K236)</f>
        <v>12598.46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302435.11</v>
      </c>
      <c r="D6" s="20">
        <f>'DOE25'!L202+'DOE25'!L220+'DOE25'!L238-F6-G6</f>
        <v>270910.17</v>
      </c>
      <c r="E6" s="243"/>
      <c r="F6" s="255">
        <f>'DOE25'!J202+'DOE25'!J220+'DOE25'!J238</f>
        <v>31195.989999999998</v>
      </c>
      <c r="G6" s="53">
        <f>'DOE25'!K202+'DOE25'!K220+'DOE25'!K238</f>
        <v>328.95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135500.61000000002</v>
      </c>
      <c r="D7" s="20">
        <f>'DOE25'!L203+'DOE25'!L221+'DOE25'!L239-F7-G7</f>
        <v>135237.86000000002</v>
      </c>
      <c r="E7" s="243"/>
      <c r="F7" s="255">
        <f>'DOE25'!J203+'DOE25'!J221+'DOE25'!J239</f>
        <v>262.75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155062.19000000006</v>
      </c>
      <c r="D8" s="243"/>
      <c r="E8" s="20">
        <f>'DOE25'!L204+'DOE25'!L222+'DOE25'!L240-F8-G8-D9-D11</f>
        <v>141783.35000000006</v>
      </c>
      <c r="F8" s="255">
        <f>'DOE25'!J204+'DOE25'!J222+'DOE25'!J240</f>
        <v>2182</v>
      </c>
      <c r="G8" s="53">
        <f>'DOE25'!K204+'DOE25'!K222+'DOE25'!K240</f>
        <v>11096.84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24915.780000000002</v>
      </c>
      <c r="D9" s="244">
        <f>1550+500+1785-255.75+9100+6000+773.93+746.04+3546.18+1170.38</f>
        <v>24915.780000000002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9100</v>
      </c>
      <c r="D10" s="243"/>
      <c r="E10" s="244">
        <v>9100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100924.62</v>
      </c>
      <c r="D11" s="244">
        <v>100924.62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284559.27999999997</v>
      </c>
      <c r="D12" s="20">
        <f>'DOE25'!L205+'DOE25'!L223+'DOE25'!L241-F12-G12</f>
        <v>280382.71999999997</v>
      </c>
      <c r="E12" s="243"/>
      <c r="F12" s="255">
        <f>'DOE25'!J205+'DOE25'!J223+'DOE25'!J241</f>
        <v>889</v>
      </c>
      <c r="G12" s="53">
        <f>'DOE25'!K205+'DOE25'!K223+'DOE25'!K241</f>
        <v>3287.56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311936.48</v>
      </c>
      <c r="D14" s="20">
        <f>'DOE25'!L207+'DOE25'!L225+'DOE25'!L243-F14-G14</f>
        <v>303782.44</v>
      </c>
      <c r="E14" s="243"/>
      <c r="F14" s="255">
        <f>'DOE25'!J207+'DOE25'!J225+'DOE25'!J243</f>
        <v>7475</v>
      </c>
      <c r="G14" s="53">
        <f>'DOE25'!K207+'DOE25'!K225+'DOE25'!K243</f>
        <v>679.04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215934.35</v>
      </c>
      <c r="D15" s="20">
        <f>'DOE25'!L208+'DOE25'!L226+'DOE25'!L244-F15-G15</f>
        <v>215934.35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61700</v>
      </c>
      <c r="D22" s="243"/>
      <c r="E22" s="243"/>
      <c r="F22" s="255">
        <f>'DOE25'!L255+'DOE25'!L336</f>
        <v>61700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105687.5</v>
      </c>
      <c r="D25" s="243"/>
      <c r="E25" s="243"/>
      <c r="F25" s="258"/>
      <c r="G25" s="256"/>
      <c r="H25" s="257">
        <f>'DOE25'!L260+'DOE25'!L261+'DOE25'!L341+'DOE25'!L342</f>
        <v>105687.5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58907.48</v>
      </c>
      <c r="D29" s="20">
        <f>'DOE25'!L358+'DOE25'!L359+'DOE25'!L360-'DOE25'!I367-F29-G29</f>
        <v>58907.48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95049.93</v>
      </c>
      <c r="D31" s="20">
        <f>'DOE25'!L290+'DOE25'!L309+'DOE25'!L328+'DOE25'!L333+'DOE25'!L334+'DOE25'!L335-F31-G31</f>
        <v>93409.279999999999</v>
      </c>
      <c r="E31" s="243"/>
      <c r="F31" s="255">
        <f>'DOE25'!J290+'DOE25'!J309+'DOE25'!J328+'DOE25'!J333+'DOE25'!J334+'DOE25'!J335</f>
        <v>1141.6499999999999</v>
      </c>
      <c r="G31" s="53">
        <f>'DOE25'!K290+'DOE25'!K309+'DOE25'!K328+'DOE25'!K333+'DOE25'!K334+'DOE25'!K335</f>
        <v>499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5694322.3900000015</v>
      </c>
      <c r="E33" s="246">
        <f>SUM(E5:E31)</f>
        <v>150883.35000000006</v>
      </c>
      <c r="F33" s="246">
        <f>SUM(F5:F31)</f>
        <v>115886.23999999999</v>
      </c>
      <c r="G33" s="246">
        <f>SUM(G5:G31)</f>
        <v>28489.850000000002</v>
      </c>
      <c r="H33" s="246">
        <f>SUM(H5:H31)</f>
        <v>105687.5</v>
      </c>
    </row>
    <row r="35" spans="2:8" ht="12" thickBot="1" x14ac:dyDescent="0.25">
      <c r="B35" s="253" t="s">
        <v>847</v>
      </c>
      <c r="D35" s="254">
        <f>E33</f>
        <v>150883.35000000006</v>
      </c>
      <c r="E35" s="249"/>
    </row>
    <row r="36" spans="2:8" ht="12" thickTop="1" x14ac:dyDescent="0.2">
      <c r="B36" t="s">
        <v>815</v>
      </c>
      <c r="D36" s="20">
        <f>D33</f>
        <v>5694322.3900000015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64932.22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63192.15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323247.67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11338.720000000001</v>
      </c>
      <c r="D11" s="95">
        <f>'DOE25'!G12</f>
        <v>5251.06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25061.539999999997</v>
      </c>
      <c r="D12" s="95">
        <f>'DOE25'!G13</f>
        <v>0</v>
      </c>
      <c r="E12" s="95">
        <f>'DOE25'!H13</f>
        <v>19125.29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24214.400000000001</v>
      </c>
      <c r="D13" s="95">
        <f>'DOE25'!G14</f>
        <v>547.27</v>
      </c>
      <c r="E13" s="95">
        <f>'DOE25'!H14</f>
        <v>1958.62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188739.03</v>
      </c>
      <c r="D18" s="41">
        <f>SUM(D8:D17)</f>
        <v>5798.33</v>
      </c>
      <c r="E18" s="41">
        <f>SUM(E8:E17)</f>
        <v>21083.91</v>
      </c>
      <c r="F18" s="41">
        <f>SUM(F8:F17)</f>
        <v>0</v>
      </c>
      <c r="G18" s="41">
        <f>SUM(G8:G17)</f>
        <v>323247.67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16357.740000000002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25061.539999999997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164996.42000000001</v>
      </c>
      <c r="D23" s="95">
        <f>'DOE25'!G24</f>
        <v>3451.58</v>
      </c>
      <c r="E23" s="95">
        <f>'DOE25'!H24</f>
        <v>4477.55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173.73999999999998</v>
      </c>
      <c r="D28" s="95">
        <f>'DOE25'!G29</f>
        <v>0</v>
      </c>
      <c r="E28" s="95">
        <f>'DOE25'!H29</f>
        <v>16.98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165170.16</v>
      </c>
      <c r="D31" s="41">
        <f>SUM(D21:D30)</f>
        <v>3451.58</v>
      </c>
      <c r="E31" s="41">
        <f>SUM(E21:E30)</f>
        <v>20852.27</v>
      </c>
      <c r="F31" s="41">
        <f>SUM(F21:F30)</f>
        <v>0</v>
      </c>
      <c r="G31" s="41">
        <f>SUM(G21:G30)</f>
        <v>25061.539999999997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2346.75</v>
      </c>
      <c r="E47" s="95">
        <f>'DOE25'!H48</f>
        <v>231.63999999999942</v>
      </c>
      <c r="F47" s="95">
        <f>'DOE25'!I48</f>
        <v>0</v>
      </c>
      <c r="G47" s="95">
        <f>'DOE25'!J48</f>
        <v>298186.13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23568.87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23568.87</v>
      </c>
      <c r="D50" s="41">
        <f>SUM(D34:D49)</f>
        <v>2346.75</v>
      </c>
      <c r="E50" s="41">
        <f>SUM(E34:E49)</f>
        <v>231.63999999999942</v>
      </c>
      <c r="F50" s="41">
        <f>SUM(F34:F49)</f>
        <v>0</v>
      </c>
      <c r="G50" s="41">
        <f>SUM(G34:G49)</f>
        <v>298186.13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188739.03</v>
      </c>
      <c r="D51" s="41">
        <f>D50+D31</f>
        <v>5798.33</v>
      </c>
      <c r="E51" s="41">
        <f>E50+E31</f>
        <v>21083.91</v>
      </c>
      <c r="F51" s="41">
        <f>F50+F31</f>
        <v>0</v>
      </c>
      <c r="G51" s="41">
        <f>G50+G31</f>
        <v>323247.67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4230595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277.32000000000005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1668.92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27291.38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11671.31</v>
      </c>
      <c r="D61" s="95">
        <f>SUM('DOE25'!G98:G110)</f>
        <v>0</v>
      </c>
      <c r="E61" s="95">
        <f>SUM('DOE25'!H98:H110)</f>
        <v>500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11948.63</v>
      </c>
      <c r="D62" s="130">
        <f>SUM(D57:D61)</f>
        <v>27291.38</v>
      </c>
      <c r="E62" s="130">
        <f>SUM(E57:E61)</f>
        <v>500</v>
      </c>
      <c r="F62" s="130">
        <f>SUM(F57:F61)</f>
        <v>0</v>
      </c>
      <c r="G62" s="130">
        <f>SUM(G57:G61)</f>
        <v>1668.92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4242543.63</v>
      </c>
      <c r="D63" s="22">
        <f>D56+D62</f>
        <v>27291.38</v>
      </c>
      <c r="E63" s="22">
        <f>E56+E62</f>
        <v>500</v>
      </c>
      <c r="F63" s="22">
        <f>F56+F62</f>
        <v>0</v>
      </c>
      <c r="G63" s="22">
        <f>G56+G62</f>
        <v>1668.92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686395.83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641749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1328144.83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10502.34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11788.31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573.58000000000004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22290.65</v>
      </c>
      <c r="D78" s="130">
        <f>SUM(D72:D77)</f>
        <v>573.58000000000004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1350435.48</v>
      </c>
      <c r="D81" s="130">
        <f>SUM(D79:D80)+D78+D70</f>
        <v>573.58000000000004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60172.51</v>
      </c>
      <c r="D88" s="95">
        <f>SUM('DOE25'!G153:G161)</f>
        <v>9476.2900000000009</v>
      </c>
      <c r="E88" s="95">
        <f>SUM('DOE25'!H153:H161)</f>
        <v>94781.57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60172.51</v>
      </c>
      <c r="D91" s="131">
        <f>SUM(D85:D90)</f>
        <v>9476.2900000000009</v>
      </c>
      <c r="E91" s="131">
        <f>SUM(E85:E90)</f>
        <v>94781.57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25666.38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93.71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121670.98999999999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121764.7</v>
      </c>
      <c r="D103" s="86">
        <f>SUM(D93:D102)</f>
        <v>25666.38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5774916.3199999994</v>
      </c>
      <c r="D104" s="86">
        <f>D63+D81+D91+D103</f>
        <v>63007.630000000005</v>
      </c>
      <c r="E104" s="86">
        <f>E63+E81+E91+E103</f>
        <v>95281.57</v>
      </c>
      <c r="F104" s="86">
        <f>F63+F81+F91+F103</f>
        <v>0</v>
      </c>
      <c r="G104" s="86">
        <f>G63+G81+G103</f>
        <v>51668.92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3115777.65</v>
      </c>
      <c r="D109" s="24" t="s">
        <v>289</v>
      </c>
      <c r="E109" s="95">
        <f>('DOE25'!L276)+('DOE25'!L295)+('DOE25'!L314)</f>
        <v>37846.28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1083415.6499999999</v>
      </c>
      <c r="D110" s="24" t="s">
        <v>289</v>
      </c>
      <c r="E110" s="95">
        <f>('DOE25'!L277)+('DOE25'!L296)+('DOE25'!L315)</f>
        <v>57203.65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34362.700000000004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4233556</v>
      </c>
      <c r="D115" s="86">
        <f>SUM(D109:D114)</f>
        <v>0</v>
      </c>
      <c r="E115" s="86">
        <f>SUM(E109:E114)</f>
        <v>95049.93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302435.11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135500.61000000002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280902.59000000008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284559.27999999997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311936.48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215934.35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63007.630000000005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1531268.4200000002</v>
      </c>
      <c r="D128" s="86">
        <f>SUM(D118:D127)</f>
        <v>63007.630000000005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61700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20687.5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125403.09</v>
      </c>
    </row>
    <row r="135" spans="1:7" x14ac:dyDescent="0.2">
      <c r="A135" t="s">
        <v>233</v>
      </c>
      <c r="B135" s="32" t="s">
        <v>234</v>
      </c>
      <c r="C135" s="95">
        <f>'DOE25'!L263</f>
        <v>25666.38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51668.920000000006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-1668.9200000000055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243053.88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125403.09</v>
      </c>
    </row>
    <row r="145" spans="1:9" ht="12.75" thickTop="1" thickBot="1" x14ac:dyDescent="0.25">
      <c r="A145" s="33" t="s">
        <v>244</v>
      </c>
      <c r="C145" s="86">
        <f>(C115+C128+C144)</f>
        <v>6007878.2999999998</v>
      </c>
      <c r="D145" s="86">
        <f>(D115+D128+D144)</f>
        <v>63007.630000000005</v>
      </c>
      <c r="E145" s="86">
        <f>(E115+E128+E144)</f>
        <v>95049.93</v>
      </c>
      <c r="F145" s="86">
        <f>(F115+F128+F144)</f>
        <v>0</v>
      </c>
      <c r="G145" s="86">
        <f>(G115+G128+G144)</f>
        <v>125403.09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07/12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01/21</v>
      </c>
      <c r="C153" s="152" t="str">
        <f>'DOE25'!G492</f>
        <v>08/22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314800</v>
      </c>
      <c r="C154" s="137">
        <f>'DOE25'!G493</f>
        <v>543500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2.33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180000</v>
      </c>
      <c r="C156" s="137">
        <f>'DOE25'!G495</f>
        <v>430000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</v>
      </c>
      <c r="C158" s="137">
        <f>'DOE25'!G497</f>
        <v>55000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150000</v>
      </c>
      <c r="C159" s="137">
        <f>'DOE25'!G498</f>
        <v>375000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525000</v>
      </c>
    </row>
    <row r="160" spans="1:9" x14ac:dyDescent="0.2">
      <c r="A160" s="22" t="s">
        <v>36</v>
      </c>
      <c r="B160" s="137">
        <f>'DOE25'!F499</f>
        <v>18000</v>
      </c>
      <c r="C160" s="137">
        <f>'DOE25'!G499</f>
        <v>47168.75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65168.75</v>
      </c>
    </row>
    <row r="161" spans="1:7" x14ac:dyDescent="0.2">
      <c r="A161" s="22" t="s">
        <v>37</v>
      </c>
      <c r="B161" s="137">
        <f>'DOE25'!F500</f>
        <v>168000</v>
      </c>
      <c r="C161" s="137">
        <f>'DOE25'!G500</f>
        <v>422168.75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590168.75</v>
      </c>
    </row>
    <row r="162" spans="1:7" x14ac:dyDescent="0.2">
      <c r="A162" s="22" t="s">
        <v>38</v>
      </c>
      <c r="B162" s="137">
        <f>'DOE25'!F501</f>
        <v>30000</v>
      </c>
      <c r="C162" s="137">
        <f>'DOE25'!G501</f>
        <v>55000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6000</v>
      </c>
      <c r="C163" s="137">
        <f>'DOE25'!G502</f>
        <v>11837.5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17837.5</v>
      </c>
    </row>
    <row r="164" spans="1:7" x14ac:dyDescent="0.2">
      <c r="A164" s="22" t="s">
        <v>246</v>
      </c>
      <c r="B164" s="137">
        <f>'DOE25'!F503</f>
        <v>36000</v>
      </c>
      <c r="C164" s="137">
        <f>'DOE25'!G503</f>
        <v>66837.5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102837.5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Plainfield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19596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19596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3153624</v>
      </c>
      <c r="D10" s="182">
        <f>ROUND((C10/$C$28)*100,1)</f>
        <v>53.3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1140619</v>
      </c>
      <c r="D11" s="182">
        <f>ROUND((C11/$C$28)*100,1)</f>
        <v>19.3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34363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302435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135501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280903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284559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311936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215934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20688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35716.619999999995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5916278.6200000001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61700</v>
      </c>
    </row>
    <row r="30" spans="1:4" x14ac:dyDescent="0.2">
      <c r="B30" s="187" t="s">
        <v>729</v>
      </c>
      <c r="C30" s="180">
        <f>SUM(C28:C29)</f>
        <v>5977978.6200000001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4230595</v>
      </c>
      <c r="D35" s="182">
        <f t="shared" ref="D35:D40" si="1">ROUND((C35/$C$41)*100,1)</f>
        <v>73.400000000000006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14117.549999999814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1328145</v>
      </c>
      <c r="D37" s="182">
        <f t="shared" si="1"/>
        <v>23.1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22864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164430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5760151.5499999998</v>
      </c>
      <c r="D41" s="184">
        <f>SUM(D35:D40)</f>
        <v>100.00000000000003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Plainfield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2016-09-13T11:52:35Z</cp:lastPrinted>
  <dcterms:created xsi:type="dcterms:W3CDTF">1997-12-04T19:04:30Z</dcterms:created>
  <dcterms:modified xsi:type="dcterms:W3CDTF">2016-09-13T11:52:42Z</dcterms:modified>
</cp:coreProperties>
</file>