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C10" i="10" s="1"/>
  <c r="L198" i="1"/>
  <c r="L199" i="1"/>
  <c r="L200" i="1"/>
  <c r="L215" i="1"/>
  <c r="L216" i="1"/>
  <c r="L217" i="1"/>
  <c r="L218" i="1"/>
  <c r="L233" i="1"/>
  <c r="L247" i="1" s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C18" i="10" s="1"/>
  <c r="L223" i="1"/>
  <c r="L241" i="1"/>
  <c r="F14" i="13"/>
  <c r="G14" i="13"/>
  <c r="L207" i="1"/>
  <c r="C20" i="10" s="1"/>
  <c r="L225" i="1"/>
  <c r="L243" i="1"/>
  <c r="F15" i="13"/>
  <c r="G15" i="13"/>
  <c r="L208" i="1"/>
  <c r="C124" i="2" s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C12" i="10" s="1"/>
  <c r="L279" i="1"/>
  <c r="C13" i="10" s="1"/>
  <c r="L281" i="1"/>
  <c r="L282" i="1"/>
  <c r="E119" i="2" s="1"/>
  <c r="L283" i="1"/>
  <c r="E120" i="2" s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131" i="2" s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1" i="10"/>
  <c r="C15" i="10"/>
  <c r="C16" i="10"/>
  <c r="C19" i="10"/>
  <c r="C21" i="10"/>
  <c r="L250" i="1"/>
  <c r="L332" i="1"/>
  <c r="L254" i="1"/>
  <c r="C25" i="10"/>
  <c r="L268" i="1"/>
  <c r="L269" i="1"/>
  <c r="L349" i="1"/>
  <c r="L350" i="1"/>
  <c r="I665" i="1"/>
  <c r="I670" i="1"/>
  <c r="L229" i="1"/>
  <c r="F661" i="1"/>
  <c r="G661" i="1"/>
  <c r="H661" i="1"/>
  <c r="G662" i="1"/>
  <c r="H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2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0" i="2"/>
  <c r="E110" i="2"/>
  <c r="C111" i="2"/>
  <c r="C112" i="2"/>
  <c r="E112" i="2"/>
  <c r="C113" i="2"/>
  <c r="E113" i="2"/>
  <c r="C114" i="2"/>
  <c r="E114" i="2"/>
  <c r="D115" i="2"/>
  <c r="F115" i="2"/>
  <c r="G115" i="2"/>
  <c r="C118" i="2"/>
  <c r="E118" i="2"/>
  <c r="C119" i="2"/>
  <c r="E121" i="2"/>
  <c r="C122" i="2"/>
  <c r="E122" i="2"/>
  <c r="C123" i="2"/>
  <c r="E123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G619" i="1" s="1"/>
  <c r="I19" i="1"/>
  <c r="F32" i="1"/>
  <c r="F52" i="1" s="1"/>
  <c r="H617" i="1" s="1"/>
  <c r="G32" i="1"/>
  <c r="H32" i="1"/>
  <c r="I32" i="1"/>
  <c r="G52" i="1"/>
  <c r="H618" i="1" s="1"/>
  <c r="H51" i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I257" i="1" s="1"/>
  <c r="I271" i="1" s="1"/>
  <c r="J211" i="1"/>
  <c r="J257" i="1" s="1"/>
  <c r="J271" i="1" s="1"/>
  <c r="K211" i="1"/>
  <c r="K257" i="1" s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F338" i="1" s="1"/>
  <c r="F352" i="1" s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F461" i="1"/>
  <c r="G461" i="1"/>
  <c r="H640" i="1" s="1"/>
  <c r="H461" i="1"/>
  <c r="I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J545" i="1" s="1"/>
  <c r="K524" i="1"/>
  <c r="L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5" i="1" s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18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G640" i="1"/>
  <c r="G641" i="1"/>
  <c r="H641" i="1"/>
  <c r="G642" i="1"/>
  <c r="H642" i="1"/>
  <c r="G643" i="1"/>
  <c r="H643" i="1"/>
  <c r="G644" i="1"/>
  <c r="H644" i="1"/>
  <c r="G645" i="1"/>
  <c r="H645" i="1"/>
  <c r="G649" i="1"/>
  <c r="G650" i="1"/>
  <c r="G651" i="1"/>
  <c r="G652" i="1"/>
  <c r="H652" i="1"/>
  <c r="G653" i="1"/>
  <c r="H653" i="1"/>
  <c r="G654" i="1"/>
  <c r="H654" i="1"/>
  <c r="H655" i="1"/>
  <c r="F192" i="1"/>
  <c r="L256" i="1"/>
  <c r="G164" i="2"/>
  <c r="C18" i="2"/>
  <c r="C26" i="10"/>
  <c r="L328" i="1"/>
  <c r="L351" i="1"/>
  <c r="L290" i="1"/>
  <c r="A31" i="12"/>
  <c r="A40" i="12"/>
  <c r="D12" i="13"/>
  <c r="C12" i="13" s="1"/>
  <c r="D62" i="2"/>
  <c r="D63" i="2" s="1"/>
  <c r="D18" i="13"/>
  <c r="C18" i="13" s="1"/>
  <c r="D7" i="13"/>
  <c r="C7" i="13" s="1"/>
  <c r="D18" i="2"/>
  <c r="D17" i="13"/>
  <c r="C17" i="13" s="1"/>
  <c r="D6" i="13"/>
  <c r="C6" i="13" s="1"/>
  <c r="E8" i="13"/>
  <c r="C8" i="13" s="1"/>
  <c r="C91" i="2"/>
  <c r="F78" i="2"/>
  <c r="F81" i="2" s="1"/>
  <c r="D31" i="2"/>
  <c r="C78" i="2"/>
  <c r="D50" i="2"/>
  <c r="G157" i="2"/>
  <c r="F18" i="2"/>
  <c r="G156" i="2"/>
  <c r="E103" i="2"/>
  <c r="D91" i="2"/>
  <c r="E62" i="2"/>
  <c r="E63" i="2" s="1"/>
  <c r="E31" i="2"/>
  <c r="G62" i="2"/>
  <c r="D29" i="13"/>
  <c r="C29" i="13" s="1"/>
  <c r="D19" i="13"/>
  <c r="C19" i="13" s="1"/>
  <c r="D14" i="13"/>
  <c r="C14" i="13" s="1"/>
  <c r="E13" i="13"/>
  <c r="C13" i="13" s="1"/>
  <c r="E78" i="2"/>
  <c r="E81" i="2" s="1"/>
  <c r="L427" i="1"/>
  <c r="H112" i="1"/>
  <c r="F112" i="1"/>
  <c r="J641" i="1"/>
  <c r="J639" i="1"/>
  <c r="J571" i="1"/>
  <c r="K571" i="1"/>
  <c r="L433" i="1"/>
  <c r="L419" i="1"/>
  <c r="D81" i="2"/>
  <c r="I169" i="1"/>
  <c r="H169" i="1"/>
  <c r="G552" i="1"/>
  <c r="J644" i="1"/>
  <c r="J643" i="1"/>
  <c r="J476" i="1"/>
  <c r="H626" i="1" s="1"/>
  <c r="H476" i="1"/>
  <c r="H624" i="1" s="1"/>
  <c r="J624" i="1" s="1"/>
  <c r="F476" i="1"/>
  <c r="H622" i="1" s="1"/>
  <c r="I476" i="1"/>
  <c r="H625" i="1" s="1"/>
  <c r="J625" i="1" s="1"/>
  <c r="G338" i="1"/>
  <c r="G352" i="1" s="1"/>
  <c r="F169" i="1"/>
  <c r="J140" i="1"/>
  <c r="F571" i="1"/>
  <c r="I552" i="1"/>
  <c r="K550" i="1"/>
  <c r="G22" i="2"/>
  <c r="K545" i="1"/>
  <c r="J552" i="1"/>
  <c r="H552" i="1"/>
  <c r="C29" i="10"/>
  <c r="I661" i="1"/>
  <c r="H140" i="1"/>
  <c r="L401" i="1"/>
  <c r="C139" i="2" s="1"/>
  <c r="L393" i="1"/>
  <c r="F22" i="13"/>
  <c r="C22" i="13" s="1"/>
  <c r="H25" i="13"/>
  <c r="C25" i="13" s="1"/>
  <c r="J651" i="1"/>
  <c r="J634" i="1"/>
  <c r="H571" i="1"/>
  <c r="L560" i="1"/>
  <c r="H338" i="1"/>
  <c r="H352" i="1" s="1"/>
  <c r="G192" i="1"/>
  <c r="H192" i="1"/>
  <c r="C35" i="10"/>
  <c r="L309" i="1"/>
  <c r="D5" i="13"/>
  <c r="C5" i="13" s="1"/>
  <c r="E16" i="13"/>
  <c r="J655" i="1"/>
  <c r="J645" i="1"/>
  <c r="L570" i="1"/>
  <c r="I571" i="1"/>
  <c r="J636" i="1"/>
  <c r="G36" i="2"/>
  <c r="G545" i="1"/>
  <c r="H545" i="1"/>
  <c r="K551" i="1"/>
  <c r="C138" i="2"/>
  <c r="C16" i="13"/>
  <c r="A13" i="12" l="1"/>
  <c r="K598" i="1"/>
  <c r="G647" i="1" s="1"/>
  <c r="I545" i="1"/>
  <c r="L529" i="1"/>
  <c r="L545" i="1" s="1"/>
  <c r="K549" i="1"/>
  <c r="K552" i="1" s="1"/>
  <c r="F552" i="1"/>
  <c r="G476" i="1"/>
  <c r="H623" i="1" s="1"/>
  <c r="J640" i="1"/>
  <c r="L362" i="1"/>
  <c r="C27" i="10" s="1"/>
  <c r="C28" i="10" s="1"/>
  <c r="D145" i="2"/>
  <c r="C17" i="10"/>
  <c r="E128" i="2"/>
  <c r="E111" i="2"/>
  <c r="E115" i="2"/>
  <c r="H33" i="13"/>
  <c r="C32" i="10"/>
  <c r="K271" i="1"/>
  <c r="G257" i="1"/>
  <c r="G271" i="1" s="1"/>
  <c r="F257" i="1"/>
  <c r="F271" i="1" s="1"/>
  <c r="C121" i="2"/>
  <c r="C115" i="2"/>
  <c r="C70" i="2"/>
  <c r="C81" i="2" s="1"/>
  <c r="J623" i="1"/>
  <c r="H52" i="1"/>
  <c r="H619" i="1" s="1"/>
  <c r="H257" i="1"/>
  <c r="H271" i="1" s="1"/>
  <c r="D15" i="13"/>
  <c r="C15" i="13" s="1"/>
  <c r="H647" i="1"/>
  <c r="J647" i="1" s="1"/>
  <c r="F662" i="1"/>
  <c r="I662" i="1" s="1"/>
  <c r="L211" i="1"/>
  <c r="L257" i="1" s="1"/>
  <c r="L271" i="1" s="1"/>
  <c r="G632" i="1" s="1"/>
  <c r="J632" i="1" s="1"/>
  <c r="J622" i="1"/>
  <c r="J649" i="1"/>
  <c r="H660" i="1"/>
  <c r="H664" i="1" s="1"/>
  <c r="H672" i="1" s="1"/>
  <c r="C6" i="10" s="1"/>
  <c r="E33" i="13"/>
  <c r="D35" i="13" s="1"/>
  <c r="C120" i="2"/>
  <c r="C62" i="2"/>
  <c r="C63" i="2" s="1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L338" i="1"/>
  <c r="L352" i="1" s="1"/>
  <c r="G633" i="1" s="1"/>
  <c r="J633" i="1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H667" i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J652" i="1"/>
  <c r="J642" i="1"/>
  <c r="G571" i="1"/>
  <c r="I434" i="1"/>
  <c r="G434" i="1"/>
  <c r="I663" i="1"/>
  <c r="G635" i="1"/>
  <c r="J635" i="1" s="1"/>
  <c r="H646" i="1" l="1"/>
  <c r="J646" i="1" s="1"/>
  <c r="G672" i="1"/>
  <c r="C5" i="10" s="1"/>
  <c r="D31" i="13"/>
  <c r="C31" i="13" s="1"/>
  <c r="E145" i="2"/>
  <c r="F33" i="13"/>
  <c r="C128" i="2"/>
  <c r="C145" i="2" s="1"/>
  <c r="F660" i="1"/>
  <c r="F664" i="1" s="1"/>
  <c r="F672" i="1" s="1"/>
  <c r="C4" i="10" s="1"/>
  <c r="C104" i="2"/>
  <c r="C51" i="2"/>
  <c r="G631" i="1"/>
  <c r="J631" i="1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I660" i="1" l="1"/>
  <c r="I664" i="1" s="1"/>
  <c r="I672" i="1" s="1"/>
  <c r="C7" i="10" s="1"/>
  <c r="F667" i="1"/>
  <c r="H656" i="1"/>
  <c r="D28" i="10"/>
  <c r="C41" i="10"/>
  <c r="D38" i="10" s="1"/>
  <c r="I667" i="1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<sst xmlns="http://schemas.openxmlformats.org/spreadsheetml/2006/main" count="3957" uniqueCount="915">
  <si>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</si>
  <si>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</si>
  <si>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</si>
  <si>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</si>
  <si>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</si>
  <si>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</si>
  <si>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</si>
  <si>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</si>
  <si>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</si>
  <si>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</si>
  <si>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</si>
  <si>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</si>
  <si>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</si>
  <si>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</si>
  <si>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</si>
  <si>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</si>
  <si>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</si>
  <si>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</si>
  <si>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</si>
  <si>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</si>
  <si>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</si>
  <si>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</si>
  <si>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</si>
  <si>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</si>
  <si>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</si>
  <si>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</si>
  <si>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</si>
  <si>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</si>
  <si>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</si>
  <si>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</si>
  <si>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</si>
  <si>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</si>
  <si>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</si>
  <si>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</si>
  <si>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</si>
  <si>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</si>
  <si>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</si>
  <si>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</si>
  <si>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</si>
  <si>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</si>
  <si>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</si>
  <si>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</si>
  <si>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</si>
  <si>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</si>
  <si>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</si>
  <si>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</si>
  <si>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</si>
  <si>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</si>
  <si>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</si>
  <si>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</si>
  <si>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</si>
  <si>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</si>
  <si>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</si>
  <si>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</si>
  <si>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</si>
  <si>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</si>
  <si>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</si>
  <si>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</si>
  <si>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</si>
  <si>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</si>
  <si>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</si>
  <si>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</si>
  <si>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</si>
  <si>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</si>
  <si>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</si>
  <si>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</si>
  <si>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</si>
  <si>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</si>
  <si>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</si>
  <si>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</si>
  <si>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</si>
  <si>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</si>
  <si>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</si>
  <si>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</si>
  <si>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</si>
  <si>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</si>
  <si>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</si>
  <si>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</si>
  <si>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</si>
  <si>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</si>
  <si>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</si>
  <si>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</si>
  <si>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</si>
  <si>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</si>
  <si>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</si>
  <si>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</si>
  <si>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</si>
  <si>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</si>
  <si>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</si>
  <si>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</si>
  <si>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</si>
  <si>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</si>
  <si>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</si>
  <si>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</si>
  <si>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</si>
  <si>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</si>
  <si>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</si>
  <si>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</si>
  <si>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</si>
  <si>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</si>
  <si>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</si>
  <si>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</si>
  <si>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</si>
  <si>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</si>
  <si>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</si>
  <si>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</si>
  <si>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</si>
  <si>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</si>
  <si>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</si>
  <si>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</si>
  <si>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</si>
  <si>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</si>
  <si>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</si>
  <si>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</si>
  <si>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</si>
  <si>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</si>
  <si>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</si>
  <si>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</si>
  <si>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</si>
  <si>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</si>
  <si>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</si>
  <si>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</si>
  <si>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</si>
  <si>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</si>
  <si>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</si>
  <si>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</si>
  <si>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</si>
  <si>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</si>
  <si>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</si>
  <si>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</si>
  <si>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</si>
  <si>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</si>
  <si>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</si>
  <si>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</si>
  <si>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</si>
  <si>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</si>
  <si>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</si>
  <si>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</si>
  <si>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</si>
  <si>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</si>
  <si>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</si>
  <si>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</si>
  <si>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</si>
  <si>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</si>
  <si>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</si>
  <si>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</si>
  <si>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</si>
  <si>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</si>
  <si>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</si>
  <si>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</si>
  <si>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</si>
  <si>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</si>
  <si>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</si>
  <si>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</si>
  <si>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</si>
  <si>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</si>
  <si>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</si>
  <si>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</si>
  <si>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</si>
  <si>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</si>
  <si>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</si>
  <si>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</si>
  <si>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</si>
  <si>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</si>
  <si>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</si>
  <si>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</si>
  <si>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</si>
  <si>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</si>
  <si>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</si>
  <si>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</si>
  <si>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</si>
  <si>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</si>
  <si>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</si>
  <si>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</si>
  <si>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</si>
  <si>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</si>
  <si>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</si>
  <si>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</si>
  <si>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</si>
  <si>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</si>
  <si>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</si>
  <si>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</si>
  <si>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</si>
  <si>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</si>
  <si>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</si>
  <si>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</si>
  <si>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</si>
  <si>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</si>
  <si>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</si>
  <si>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</si>
  <si>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</si>
  <si>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</si>
  <si>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</si>
  <si>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</si>
  <si>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</si>
  <si>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</si>
  <si>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</si>
  <si>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</si>
  <si>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</si>
  <si>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</si>
  <si>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</si>
  <si>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</si>
  <si>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</si>
  <si>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</si>
  <si>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</si>
  <si>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</si>
  <si>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</si>
  <si>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</si>
  <si>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</si>
  <si>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</si>
  <si>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</si>
  <si>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</si>
  <si>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</si>
  <si>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</si>
  <si>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</si>
  <si>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</si>
  <si>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</si>
  <si>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</si>
  <si>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</si>
  <si>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</si>
  <si>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</si>
  <si>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</si>
  <si>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</si>
  <si>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</si>
  <si>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</si>
  <si>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</si>
  <si>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</si>
  <si>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</si>
  <si>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</si>
  <si>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</si>
  <si>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</si>
  <si>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</si>
  <si>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</si>
  <si>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</si>
  <si>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</si>
  <si>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</si>
  <si>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</si>
  <si>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</si>
  <si>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</si>
  <si>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</si>
  <si>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</si>
  <si>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</si>
  <si>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</si>
  <si>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</si>
  <si>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</si>
  <si>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</si>
  <si>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</si>
  <si>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</si>
  <si>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</si>
  <si>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</si>
  <si>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</si>
  <si>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</si>
  <si>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</si>
  <si>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</si>
  <si>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</si>
  <si>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</si>
  <si>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</si>
  <si>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</si>
  <si>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</si>
  <si>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</si>
  <si>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</si>
  <si>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</si>
  <si>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</si>
  <si>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</si>
  <si>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</si>
  <si>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</si>
  <si>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</si>
  <si>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</si>
  <si>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</si>
  <si>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</si>
  <si>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</si>
  <si>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</si>
  <si>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</si>
  <si>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</si>
  <si>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</si>
  <si>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</si>
  <si>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</si>
  <si>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</si>
  <si>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</si>
  <si>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</si>
  <si>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</si>
  <si>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</si>
  <si>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</si>
  <si>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</si>
  <si>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</si>
  <si>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</si>
  <si>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</si>
  <si>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</si>
  <si>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</si>
  <si>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</si>
  <si>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</si>
  <si>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</si>
  <si>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</si>
  <si>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</si>
  <si>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</si>
  <si>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</si>
  <si>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</si>
  <si>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</si>
  <si>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</si>
  <si>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</si>
  <si>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</si>
  <si>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</si>
  <si>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</si>
  <si>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</si>
  <si>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</si>
  <si>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</si>
  <si>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</si>
  <si>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</si>
  <si>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</si>
  <si>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</si>
  <si>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</si>
  <si>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</si>
  <si>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</si>
  <si>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</si>
  <si>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</si>
  <si>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</si>
  <si>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</si>
  <si>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</si>
  <si>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</si>
  <si>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</si>
  <si>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</si>
  <si>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</si>
  <si>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</si>
  <si>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</si>
  <si>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</si>
  <si>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</si>
  <si>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</si>
  <si>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</si>
  <si>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</si>
  <si>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</si>
  <si>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</si>
  <si>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</si>
  <si>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</si>
  <si>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</si>
  <si>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</si>
  <si>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</si>
  <si>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</si>
  <si>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</si>
  <si>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</si>
  <si>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</si>
  <si>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</si>
  <si>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</si>
  <si>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</si>
  <si>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</si>
  <si>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</si>
  <si>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</si>
  <si>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</si>
  <si>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</si>
  <si>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</si>
  <si>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</si>
  <si>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</si>
  <si>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</si>
  <si>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</si>
  <si>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</si>
  <si>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</si>
  <si>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</si>
  <si>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</si>
  <si>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</si>
  <si>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</si>
  <si>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</si>
  <si>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</si>
  <si>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</si>
  <si>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</si>
  <si>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</si>
  <si>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</si>
  <si>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</si>
  <si>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</si>
  <si>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</si>
  <si>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</si>
  <si>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</si>
  <si>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</si>
  <si>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</si>
  <si>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</si>
  <si>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</si>
  <si>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</si>
  <si>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</si>
  <si>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</si>
  <si>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</si>
  <si>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</si>
  <si>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</si>
  <si>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</si>
  <si>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</si>
  <si>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</si>
  <si>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</si>
  <si>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</si>
  <si>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</si>
  <si>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</si>
  <si>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</si>
  <si>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</si>
  <si>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</si>
  <si>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</si>
  <si>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</si>
  <si>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</si>
  <si>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</si>
  <si>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</si>
  <si>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</si>
  <si>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</si>
  <si>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</si>
  <si>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</si>
  <si>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</si>
  <si>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</si>
  <si>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</si>
  <si>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</si>
  <si>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</si>
  <si>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</si>
  <si>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</si>
  <si>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</si>
  <si>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</si>
  <si>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</si>
  <si>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</si>
  <si>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</si>
  <si>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</si>
  <si>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</si>
  <si>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</si>
  <si>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</si>
  <si>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</si>
  <si>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</si>
  <si>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</si>
  <si>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</si>
  <si>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</si>
  <si>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</si>
  <si>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</si>
  <si>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</si>
  <si>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</si>
  <si>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</si>
  <si>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</si>
  <si>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</si>
  <si>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</si>
  <si>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</si>
  <si>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</si>
  <si>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</si>
  <si>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</si>
  <si>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</si>
  <si>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</si>
  <si>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</si>
  <si>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</si>
  <si>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</si>
  <si>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</si>
  <si>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</si>
  <si>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</si>
  <si>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</si>
  <si>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</si>
  <si>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</si>
  <si>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</si>
  <si>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</si>
  <si>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</si>
  <si>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</si>
  <si>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</si>
  <si>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</si>
  <si>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</si>
  <si>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</si>
  <si>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</si>
  <si>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</si>
  <si>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</si>
  <si>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</si>
  <si>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</si>
  <si>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</si>
  <si>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</si>
  <si>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</si>
  <si>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</si>
  <si>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</si>
  <si>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</si>
  <si>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</si>
  <si>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</si>
  <si>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</si>
  <si>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</si>
  <si>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</si>
  <si>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</si>
  <si>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</si>
  <si>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</si>
  <si>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</si>
  <si>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</si>
  <si>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</si>
  <si>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</si>
  <si>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</si>
  <si>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</si>
  <si>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</si>
  <si>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</si>
  <si>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</si>
  <si>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</si>
  <si>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</si>
  <si>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</si>
  <si>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</si>
  <si>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</si>
  <si>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</si>
  <si>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</si>
  <si>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</si>
  <si>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</si>
  <si>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</si>
  <si>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</si>
  <si>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</si>
  <si>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</si>
  <si>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</si>
  <si>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</si>
  <si>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</si>
  <si>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</si>
  <si>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</si>
  <si>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</si>
  <si>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</si>
  <si>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</si>
  <si>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</si>
  <si>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</si>
  <si>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</si>
  <si>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</si>
  <si>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</si>
  <si>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</si>
  <si>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</si>
  <si>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</si>
  <si>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</si>
  <si>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</si>
  <si>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</si>
  <si>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</si>
  <si>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</si>
  <si>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</si>
  <si>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</si>
  <si>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</si>
  <si>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</si>
  <si>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</si>
  <si>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</si>
  <si>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</si>
  <si>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</si>
  <si>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</si>
  <si>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</si>
  <si>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</si>
  <si>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</si>
  <si>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</si>
  <si>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</si>
  <si>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</si>
  <si>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</si>
  <si>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</si>
  <si>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</si>
  <si>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</si>
  <si>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</si>
  <si>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</si>
  <si>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</si>
  <si>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</si>
  <si>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</si>
  <si>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</si>
  <si>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</si>
  <si>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</si>
  <si>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</si>
  <si>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</si>
  <si>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</si>
  <si>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</si>
  <si>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</si>
  <si>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</si>
  <si>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</si>
  <si>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</si>
  <si>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</si>
  <si>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</si>
  <si>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</si>
  <si>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</si>
  <si>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</si>
  <si>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</si>
  <si>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</si>
  <si>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</si>
  <si>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</si>
  <si>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</si>
  <si>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</si>
  <si>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</si>
  <si>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</si>
  <si>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</si>
  <si>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</si>
  <si>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</si>
  <si>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</si>
  <si>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</si>
  <si>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</si>
  <si>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</si>
  <si>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</si>
  <si>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</si>
  <si>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</si>
  <si>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</si>
  <si>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</si>
  <si>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</si>
  <si>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</si>
  <si>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</si>
  <si>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</si>
  <si>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</si>
  <si>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</si>
  <si>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</si>
  <si>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</si>
  <si>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</si>
  <si>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</si>
  <si>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</si>
  <si>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</si>
  <si>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</si>
  <si>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</si>
  <si>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</si>
  <si>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</si>
  <si>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</si>
  <si>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</si>
  <si>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</si>
  <si>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</si>
  <si>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</si>
  <si>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</si>
  <si>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</si>
  <si>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</si>
  <si>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</si>
  <si>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</si>
  <si>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</si>
  <si>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</si>
  <si>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</si>
  <si>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</si>
  <si>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</si>
  <si>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</si>
  <si>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</si>
  <si>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</si>
  <si>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</si>
  <si>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</si>
  <si>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</si>
  <si>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</si>
  <si>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</si>
  <si>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</si>
  <si>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</si>
  <si>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</si>
  <si>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</si>
  <si>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</si>
  <si>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</si>
  <si>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</si>
  <si>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</si>
  <si>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</si>
  <si>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</si>
  <si>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</si>
  <si>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</si>
  <si>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</si>
  <si>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</si>
  <si>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</si>
  <si>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</si>
  <si>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</si>
  <si>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</si>
  <si>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</si>
  <si>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</si>
  <si>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</si>
  <si>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</si>
  <si>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</si>
  <si>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</si>
  <si>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</si>
  <si>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</si>
  <si>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</si>
  <si>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</si>
  <si>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</si>
  <si>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</si>
  <si>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</si>
  <si>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</si>
  <si>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</si>
  <si>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</si>
  <si>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</si>
  <si>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</si>
  <si>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</si>
  <si>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</si>
  <si>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</si>
  <si>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</si>
  <si>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</si>
  <si>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</si>
  <si>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</si>
  <si>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</si>
  <si>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</si>
  <si>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</si>
  <si>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</si>
  <si>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</si>
  <si>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</si>
  <si>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</si>
  <si>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</si>
  <si>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</si>
  <si>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</si>
  <si>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</si>
  <si>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</si>
  <si>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</si>
  <si>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</si>
  <si>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</si>
  <si>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</si>
  <si>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</si>
  <si>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</si>
  <si>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</si>
  <si>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</si>
  <si>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</si>
  <si>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</si>
  <si>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</si>
  <si>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</si>
  <si>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</si>
  <si>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</si>
  <si>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</si>
  <si>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</si>
  <si>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</si>
  <si>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</si>
  <si>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</si>
  <si>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</si>
  <si>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</si>
  <si>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</si>
  <si>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</si>
  <si>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</si>
  <si>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</si>
  <si>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</si>
  <si>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</si>
  <si>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</si>
  <si>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</si>
  <si>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</si>
  <si>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</si>
  <si>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</si>
  <si>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</si>
  <si>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</si>
  <si>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</si>
  <si>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</si>
  <si>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</si>
  <si>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</si>
  <si>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</si>
  <si>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</si>
  <si>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</si>
  <si>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</si>
  <si>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</si>
  <si>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</si>
  <si>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</si>
  <si>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</si>
  <si>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</si>
  <si>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</si>
  <si>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</si>
  <si>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</si>
  <si>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</si>
  <si>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</si>
  <si>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</si>
  <si>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</si>
  <si>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</si>
  <si>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</si>
  <si>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</si>
  <si>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</si>
  <si>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</si>
  <si>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</si>
  <si>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</si>
  <si>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</si>
  <si>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</si>
  <si>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</si>
  <si>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</si>
  <si>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</si>
  <si>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</si>
  <si>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</si>
  <si>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</si>
  <si>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</si>
  <si>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</si>
  <si>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</si>
  <si>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</si>
  <si>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</si>
  <si>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</si>
  <si>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</si>
  <si>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</si>
  <si>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</si>
  <si>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</si>
  <si>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</si>
  <si>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</si>
  <si>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</si>
  <si>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</si>
  <si>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</si>
  <si>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</si>
  <si>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</si>
  <si>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</si>
  <si>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</si>
  <si>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</si>
  <si>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</si>
  <si>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</si>
  <si>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</si>
  <si>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</si>
  <si>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</si>
  <si>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</si>
  <si>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</si>
  <si>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</si>
  <si>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</si>
  <si>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</si>
  <si>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</si>
  <si>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</si>
  <si>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</si>
  <si>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</si>
  <si>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</si>
  <si>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</si>
  <si>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</si>
  <si>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</si>
  <si>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</si>
  <si>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</si>
  <si>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</si>
  <si>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</si>
  <si>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</si>
  <si>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</si>
  <si>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</si>
  <si>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</si>
  <si>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</si>
  <si>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</si>
  <si>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</si>
  <si>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</si>
  <si>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</si>
  <si>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</si>
  <si>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</si>
  <si>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</si>
  <si>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</si>
  <si>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</si>
  <si>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</si>
  <si>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</si>
  <si>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</si>
  <si>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</si>
  <si>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</si>
  <si>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</si>
  <si>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</si>
  <si>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</si>
  <si>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</si>
  <si>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</si>
  <si>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</si>
  <si>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</si>
  <si>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</si>
  <si>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</si>
  <si>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</si>
  <si>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</si>
  <si>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</si>
  <si>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</si>
  <si>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</si>
  <si>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</si>
  <si>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</si>
  <si>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</si>
  <si>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</si>
  <si>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</si>
  <si>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</si>
  <si>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</si>
  <si>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</si>
  <si>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</si>
  <si>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</si>
  <si>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</si>
  <si>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</si>
  <si>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</si>
  <si>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</si>
  <si>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</si>
  <si>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</si>
  <si>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</si>
  <si>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</si>
  <si>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</si>
  <si>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</si>
  <si>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</si>
  <si>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</si>
  <si>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</si>
  <si>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</si>
  <si>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</si>
  <si>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</si>
  <si>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</si>
  <si>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</si>
  <si>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</si>
  <si>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</si>
  <si>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</si>
  <si>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</si>
  <si>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</si>
  <si>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</si>
  <si>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</si>
  <si>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</si>
  <si>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</si>
  <si>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</si>
  <si>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</si>
  <si>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</si>
  <si>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</si>
  <si>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</si>
  <si>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</si>
  <si>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</si>
  <si>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</si>
  <si>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</si>
  <si>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</si>
  <si>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</si>
  <si>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</si>
  <si>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</si>
  <si>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</si>
  <si>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</si>
  <si>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</si>
  <si>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</si>
  <si>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</si>
  <si>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</si>
  <si>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</si>
  <si>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</si>
  <si>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</si>
  <si>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</si>
  <si>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</si>
  <si>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</si>
  <si>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</si>
  <si>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</si>
  <si>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</si>
  <si>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</si>
  <si>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</si>
  <si>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</si>
  <si>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</si>
  <si>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</si>
  <si>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</si>
  <si>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</si>
  <si>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</si>
  <si>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</si>
  <si>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</si>
  <si>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</si>
  <si>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</si>
  <si>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</si>
  <si>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</si>
  <si>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</si>
  <si>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</si>
  <si>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</si>
  <si>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</si>
  <si>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</si>
  <si>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</si>
  <si>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</si>
  <si>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</si>
  <si>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</si>
  <si>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</si>
  <si>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</si>
  <si>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</si>
  <si>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</si>
  <si>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</si>
  <si>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</si>
  <si>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</si>
  <si>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</si>
  <si>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</si>
  <si>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</si>
  <si>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</si>
  <si>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</si>
  <si>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</si>
  <si>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PLYMOUTH SCHOOL DISTRICT</t>
  </si>
  <si>
    <t>7/10</t>
  </si>
  <si>
    <t>08/15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</si>
</sst>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46" activePane="bottomRight" state="frozen"/>
      <selection pane="topRight" activeCell="F1" sqref="F1"/>
      <selection pane="bottomLeft" activeCell="A4" sqref="A4"/>
      <selection pane="bottomRight" activeCell="C3" sqref="C3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447</v>
      </c>
      <c r="C2" s="21">
        <v>447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186451.63</v>
      </c>
      <c r="G9" s="18">
        <v>-15633.57</v>
      </c>
      <c r="H9" s="18">
        <v>-20077.7</v>
      </c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62047.59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27509.85</v>
      </c>
      <c r="G13" s="18">
        <v>19425.87</v>
      </c>
      <c r="H13" s="18">
        <v>22777.55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5113.29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219074.77000000002</v>
      </c>
      <c r="G19" s="41">
        <f>SUM(G9:G18)</f>
        <v>3792.2999999999993</v>
      </c>
      <c r="H19" s="41">
        <f>SUM(H9:H18)</f>
        <v>2699.8499999999985</v>
      </c>
      <c r="I19" s="41">
        <f>SUM(I9:I18)</f>
        <v>0</v>
      </c>
      <c r="J19" s="41">
        <f>SUM(J9:J18)</f>
        <v>62047.59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26093.360000000001</v>
      </c>
      <c r="G24" s="18"/>
      <c r="H24" s="18">
        <v>916.95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367.14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39458.239999999998</v>
      </c>
      <c r="G30" s="18"/>
      <c r="H30" s="18">
        <v>2012.5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65918.739999999991</v>
      </c>
      <c r="G32" s="41">
        <f>SUM(G22:G31)</f>
        <v>0</v>
      </c>
      <c r="H32" s="41">
        <f>SUM(H22:H31)</f>
        <v>2929.45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3792.3</v>
      </c>
      <c r="H48" s="18">
        <v>-229.6</v>
      </c>
      <c r="I48" s="18"/>
      <c r="J48" s="13">
        <f>SUM(I459)</f>
        <v>62047.59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2891.29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150264.74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153156.03</v>
      </c>
      <c r="G51" s="41">
        <f>SUM(G35:G50)</f>
        <v>3792.3</v>
      </c>
      <c r="H51" s="41">
        <f>SUM(H35:H50)</f>
        <v>-229.6</v>
      </c>
      <c r="I51" s="41">
        <f>SUM(I35:I50)</f>
        <v>0</v>
      </c>
      <c r="J51" s="41">
        <f>SUM(J35:J50)</f>
        <v>62047.59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219074.77</v>
      </c>
      <c r="G52" s="41">
        <f>G51+G32</f>
        <v>3792.3</v>
      </c>
      <c r="H52" s="41">
        <f>H51+H32</f>
        <v>2699.85</v>
      </c>
      <c r="I52" s="41">
        <f>I51+I32</f>
        <v>0</v>
      </c>
      <c r="J52" s="41">
        <f>J51+J32</f>
        <v>62047.59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3587219.75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3587219.75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17368.77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109649.97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230039.62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>
        <v>108127.19</v>
      </c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465185.55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1.38</v>
      </c>
      <c r="G96" s="18"/>
      <c r="H96" s="18"/>
      <c r="I96" s="18"/>
      <c r="J96" s="18">
        <v>6.24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49799.27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>
        <v>3610.33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8430.26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343538.78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351970.42000000004</v>
      </c>
      <c r="G111" s="41">
        <f>SUM(G96:G110)</f>
        <v>49799.27</v>
      </c>
      <c r="H111" s="41">
        <f>SUM(H96:H110)</f>
        <v>3610.33</v>
      </c>
      <c r="I111" s="41">
        <f>SUM(I96:I110)</f>
        <v>0</v>
      </c>
      <c r="J111" s="41">
        <f>SUM(J96:J110)</f>
        <v>6.24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4404375.72</v>
      </c>
      <c r="G112" s="41">
        <f>G60+G111</f>
        <v>49799.27</v>
      </c>
      <c r="H112" s="41">
        <f>H60+H79+H94+H111</f>
        <v>3610.33</v>
      </c>
      <c r="I112" s="41">
        <f>I60+I111</f>
        <v>0</v>
      </c>
      <c r="J112" s="41">
        <f>J60+J111</f>
        <v>6.24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2328943.25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663181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2992124.25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418355.1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112824.68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1927.12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531179.78</v>
      </c>
      <c r="G136" s="41">
        <f>SUM(G123:G135)</f>
        <v>1927.12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3523304.0300000003</v>
      </c>
      <c r="G140" s="41">
        <f>G121+SUM(G136:G137)</f>
        <v>1927.12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203586.02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530.67999999999995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111834.92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156308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>
        <v>16588.849999999999</v>
      </c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156308</v>
      </c>
      <c r="G162" s="41">
        <f>SUM(G150:G161)</f>
        <v>111834.92</v>
      </c>
      <c r="H162" s="41">
        <f>SUM(H150:H161)</f>
        <v>220705.55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2532.2199999999998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158840.22</v>
      </c>
      <c r="G169" s="41">
        <f>G147+G162+SUM(G163:G168)</f>
        <v>111834.92</v>
      </c>
      <c r="H169" s="41">
        <f>H147+H162+SUM(H163:H168)</f>
        <v>220705.55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8086519.9699999997</v>
      </c>
      <c r="G193" s="47">
        <f>G112+G140+G169+G192</f>
        <v>163561.31</v>
      </c>
      <c r="H193" s="47">
        <f>H112+H140+H169+H192</f>
        <v>224315.87999999998</v>
      </c>
      <c r="I193" s="47">
        <f>I112+I140+I169+I192</f>
        <v>0</v>
      </c>
      <c r="J193" s="47">
        <f>J112+J140+J192</f>
        <v>6.24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2203124.56</v>
      </c>
      <c r="G197" s="18">
        <v>929481.23</v>
      </c>
      <c r="H197" s="18">
        <v>15683.42</v>
      </c>
      <c r="I197" s="18">
        <v>99197.73</v>
      </c>
      <c r="J197" s="18">
        <v>65524.74</v>
      </c>
      <c r="K197" s="18">
        <v>8102.51</v>
      </c>
      <c r="L197" s="19">
        <f>SUM(F197:K197)</f>
        <v>3321114.19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904336.16</v>
      </c>
      <c r="G198" s="18">
        <v>445127.62</v>
      </c>
      <c r="H198" s="18">
        <v>100689.56</v>
      </c>
      <c r="I198" s="18">
        <v>4837.22</v>
      </c>
      <c r="J198" s="18">
        <v>1212.95</v>
      </c>
      <c r="K198" s="18">
        <v>40</v>
      </c>
      <c r="L198" s="19">
        <f>SUM(F198:K198)</f>
        <v>1456243.51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127079.17</v>
      </c>
      <c r="G200" s="18">
        <v>17707.61</v>
      </c>
      <c r="H200" s="18">
        <v>15124.25</v>
      </c>
      <c r="I200" s="18">
        <v>5065.62</v>
      </c>
      <c r="J200" s="18">
        <v>13745.52</v>
      </c>
      <c r="K200" s="18">
        <v>3102</v>
      </c>
      <c r="L200" s="19">
        <f>SUM(F200:K200)</f>
        <v>181824.16999999998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272041.8</v>
      </c>
      <c r="G202" s="18">
        <v>128779.18</v>
      </c>
      <c r="H202" s="18">
        <v>261935.12</v>
      </c>
      <c r="I202" s="18">
        <v>1198.22</v>
      </c>
      <c r="J202" s="18"/>
      <c r="K202" s="18"/>
      <c r="L202" s="19">
        <f t="shared" ref="L202:L208" si="0">SUM(F202:K202)</f>
        <v>663954.31999999995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50405.74</v>
      </c>
      <c r="G203" s="18">
        <v>95203.16</v>
      </c>
      <c r="H203" s="18"/>
      <c r="I203" s="18">
        <v>7278.55</v>
      </c>
      <c r="J203" s="18">
        <v>514</v>
      </c>
      <c r="K203" s="18"/>
      <c r="L203" s="19">
        <f t="shared" si="0"/>
        <v>153401.44999999998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62259</v>
      </c>
      <c r="G204" s="18">
        <v>28584.15</v>
      </c>
      <c r="H204" s="18">
        <v>235153.38</v>
      </c>
      <c r="I204" s="18">
        <v>984.18</v>
      </c>
      <c r="J204" s="18"/>
      <c r="K204" s="18">
        <v>3040.25</v>
      </c>
      <c r="L204" s="19">
        <f t="shared" si="0"/>
        <v>330020.96000000002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256682.57</v>
      </c>
      <c r="G205" s="18">
        <v>123299.36</v>
      </c>
      <c r="H205" s="18">
        <v>2361</v>
      </c>
      <c r="I205" s="18">
        <v>4006.57</v>
      </c>
      <c r="J205" s="18"/>
      <c r="K205" s="18">
        <v>1588</v>
      </c>
      <c r="L205" s="19">
        <f t="shared" si="0"/>
        <v>387937.5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>
        <v>157.68</v>
      </c>
      <c r="I206" s="18"/>
      <c r="J206" s="18"/>
      <c r="K206" s="18"/>
      <c r="L206" s="19">
        <f t="shared" si="0"/>
        <v>157.68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197254.65</v>
      </c>
      <c r="G207" s="18">
        <v>79273.37</v>
      </c>
      <c r="H207" s="18">
        <v>150942.79999999999</v>
      </c>
      <c r="I207" s="18">
        <v>126720.57</v>
      </c>
      <c r="J207" s="18">
        <v>16429.41</v>
      </c>
      <c r="K207" s="18"/>
      <c r="L207" s="19">
        <f t="shared" si="0"/>
        <v>570620.80000000005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216250.96</v>
      </c>
      <c r="I208" s="18"/>
      <c r="J208" s="18"/>
      <c r="K208" s="18"/>
      <c r="L208" s="19">
        <f t="shared" si="0"/>
        <v>216250.96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4073183.65</v>
      </c>
      <c r="G211" s="41">
        <f t="shared" si="1"/>
        <v>1847455.6800000002</v>
      </c>
      <c r="H211" s="41">
        <f t="shared" si="1"/>
        <v>998298.16999999993</v>
      </c>
      <c r="I211" s="41">
        <f t="shared" si="1"/>
        <v>249288.66</v>
      </c>
      <c r="J211" s="41">
        <f t="shared" si="1"/>
        <v>97426.62000000001</v>
      </c>
      <c r="K211" s="41">
        <f t="shared" si="1"/>
        <v>15872.76</v>
      </c>
      <c r="L211" s="41">
        <f t="shared" si="1"/>
        <v>7281525.54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>
        <v>54648.75</v>
      </c>
      <c r="G253" s="18">
        <v>18799.34</v>
      </c>
      <c r="H253" s="18">
        <v>8985</v>
      </c>
      <c r="I253" s="18">
        <v>199.03</v>
      </c>
      <c r="J253" s="18"/>
      <c r="K253" s="18"/>
      <c r="L253" s="19">
        <f t="shared" si="6"/>
        <v>82632.12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3725</v>
      </c>
      <c r="I255" s="18"/>
      <c r="J255" s="18"/>
      <c r="K255" s="18"/>
      <c r="L255" s="19">
        <f t="shared" si="6"/>
        <v>3725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54648.75</v>
      </c>
      <c r="G256" s="41">
        <f t="shared" si="7"/>
        <v>18799.34</v>
      </c>
      <c r="H256" s="41">
        <f t="shared" si="7"/>
        <v>12710</v>
      </c>
      <c r="I256" s="41">
        <f t="shared" si="7"/>
        <v>199.03</v>
      </c>
      <c r="J256" s="41">
        <f t="shared" si="7"/>
        <v>0</v>
      </c>
      <c r="K256" s="41">
        <f t="shared" si="7"/>
        <v>0</v>
      </c>
      <c r="L256" s="41">
        <f>SUM(F256:K256)</f>
        <v>86357.119999999995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4127832.4</v>
      </c>
      <c r="G257" s="41">
        <f t="shared" si="8"/>
        <v>1866255.0200000003</v>
      </c>
      <c r="H257" s="41">
        <f t="shared" si="8"/>
        <v>1011008.1699999999</v>
      </c>
      <c r="I257" s="41">
        <f t="shared" si="8"/>
        <v>249487.69</v>
      </c>
      <c r="J257" s="41">
        <f t="shared" si="8"/>
        <v>97426.62000000001</v>
      </c>
      <c r="K257" s="41">
        <f t="shared" si="8"/>
        <v>15872.76</v>
      </c>
      <c r="L257" s="41">
        <f t="shared" si="8"/>
        <v>7367882.6600000001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700000</v>
      </c>
      <c r="L260" s="19">
        <f>SUM(F260:K260)</f>
        <v>700000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9571.91</v>
      </c>
      <c r="L261" s="19">
        <f>SUM(F261:K261)</f>
        <v>9571.91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709571.91</v>
      </c>
      <c r="L270" s="41">
        <f t="shared" si="9"/>
        <v>709571.91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4127832.4</v>
      </c>
      <c r="G271" s="42">
        <f t="shared" si="11"/>
        <v>1866255.0200000003</v>
      </c>
      <c r="H271" s="42">
        <f t="shared" si="11"/>
        <v>1011008.1699999999</v>
      </c>
      <c r="I271" s="42">
        <f t="shared" si="11"/>
        <v>249487.69</v>
      </c>
      <c r="J271" s="42">
        <f t="shared" si="11"/>
        <v>97426.62000000001</v>
      </c>
      <c r="K271" s="42">
        <f t="shared" si="11"/>
        <v>725444.67</v>
      </c>
      <c r="L271" s="42">
        <f t="shared" si="11"/>
        <v>8077454.5700000003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62761.09</v>
      </c>
      <c r="G276" s="18">
        <v>29909.32</v>
      </c>
      <c r="H276" s="18"/>
      <c r="I276" s="18">
        <v>11964.02</v>
      </c>
      <c r="J276" s="18">
        <v>21541.01</v>
      </c>
      <c r="K276" s="18"/>
      <c r="L276" s="19">
        <f>SUM(F276:K276)</f>
        <v>126175.44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>
        <v>3133.82</v>
      </c>
      <c r="K277" s="18"/>
      <c r="L277" s="19">
        <f>SUM(F277:K277)</f>
        <v>3133.82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33728.78</v>
      </c>
      <c r="G279" s="18">
        <v>9430.59</v>
      </c>
      <c r="H279" s="18"/>
      <c r="I279" s="18">
        <v>416.44</v>
      </c>
      <c r="J279" s="18">
        <v>18187.22</v>
      </c>
      <c r="K279" s="18"/>
      <c r="L279" s="19">
        <f>SUM(F279:K279)</f>
        <v>61763.03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11145.65</v>
      </c>
      <c r="G281" s="18">
        <v>4239.8100000000004</v>
      </c>
      <c r="H281" s="18"/>
      <c r="I281" s="18">
        <v>1034</v>
      </c>
      <c r="J281" s="18"/>
      <c r="K281" s="18"/>
      <c r="L281" s="19">
        <f t="shared" ref="L281:L287" si="12">SUM(F281:K281)</f>
        <v>16419.46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2000</v>
      </c>
      <c r="G282" s="18">
        <v>466.4</v>
      </c>
      <c r="H282" s="18">
        <v>1253.2</v>
      </c>
      <c r="I282" s="18"/>
      <c r="J282" s="18"/>
      <c r="K282" s="18"/>
      <c r="L282" s="19">
        <f t="shared" si="12"/>
        <v>3719.6000000000004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7510.48</v>
      </c>
      <c r="G283" s="18"/>
      <c r="H283" s="18"/>
      <c r="I283" s="18"/>
      <c r="J283" s="18"/>
      <c r="K283" s="18">
        <v>492.65</v>
      </c>
      <c r="L283" s="19">
        <f t="shared" si="12"/>
        <v>8003.1299999999992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>
        <v>5101.3999999999996</v>
      </c>
      <c r="L285" s="19">
        <f t="shared" si="12"/>
        <v>5101.3999999999996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117145.99999999999</v>
      </c>
      <c r="G290" s="42">
        <f t="shared" si="13"/>
        <v>44046.12</v>
      </c>
      <c r="H290" s="42">
        <f t="shared" si="13"/>
        <v>1253.2</v>
      </c>
      <c r="I290" s="42">
        <f t="shared" si="13"/>
        <v>13414.460000000001</v>
      </c>
      <c r="J290" s="42">
        <f t="shared" si="13"/>
        <v>42862.05</v>
      </c>
      <c r="K290" s="42">
        <f t="shared" si="13"/>
        <v>5594.0499999999993</v>
      </c>
      <c r="L290" s="41">
        <f t="shared" si="13"/>
        <v>224315.88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117145.99999999999</v>
      </c>
      <c r="G338" s="41">
        <f t="shared" si="20"/>
        <v>44046.12</v>
      </c>
      <c r="H338" s="41">
        <f t="shared" si="20"/>
        <v>1253.2</v>
      </c>
      <c r="I338" s="41">
        <f t="shared" si="20"/>
        <v>13414.460000000001</v>
      </c>
      <c r="J338" s="41">
        <f t="shared" si="20"/>
        <v>42862.05</v>
      </c>
      <c r="K338" s="41">
        <f t="shared" si="20"/>
        <v>5594.0499999999993</v>
      </c>
      <c r="L338" s="41">
        <f t="shared" si="20"/>
        <v>224315.88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117145.99999999999</v>
      </c>
      <c r="G352" s="41">
        <f>G338</f>
        <v>44046.12</v>
      </c>
      <c r="H352" s="41">
        <f>H338</f>
        <v>1253.2</v>
      </c>
      <c r="I352" s="41">
        <f>I338</f>
        <v>13414.460000000001</v>
      </c>
      <c r="J352" s="41">
        <f>J338</f>
        <v>42862.05</v>
      </c>
      <c r="K352" s="47">
        <f>K338+K351</f>
        <v>5594.0499999999993</v>
      </c>
      <c r="L352" s="41">
        <f>L338+L351</f>
        <v>224315.88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>
        <v>164948.5</v>
      </c>
      <c r="I358" s="18"/>
      <c r="J358" s="18"/>
      <c r="K358" s="18"/>
      <c r="L358" s="13">
        <f>SUM(F358:K358)</f>
        <v>164948.5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164948.5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164948.5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>
        <v>6.24</v>
      </c>
      <c r="I396" s="18"/>
      <c r="J396" s="24" t="s">
        <v>289</v>
      </c>
      <c r="K396" s="24" t="s">
        <v>289</v>
      </c>
      <c r="L396" s="56">
        <f t="shared" si="26"/>
        <v>6.24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6.24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6.24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6.24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6.24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>
        <v>62047.59</v>
      </c>
      <c r="H440" s="18"/>
      <c r="I440" s="56">
        <f t="shared" si="33"/>
        <v>62047.59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62047.59</v>
      </c>
      <c r="H446" s="13">
        <f>SUM(H439:H445)</f>
        <v>0</v>
      </c>
      <c r="I446" s="13">
        <f>SUM(I439:I445)</f>
        <v>62047.59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62047.59</v>
      </c>
      <c r="H459" s="18"/>
      <c r="I459" s="56">
        <f t="shared" si="34"/>
        <v>62047.59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62047.59</v>
      </c>
      <c r="H460" s="83">
        <f>SUM(H454:H459)</f>
        <v>0</v>
      </c>
      <c r="I460" s="83">
        <f>SUM(I454:I459)</f>
        <v>62047.59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62047.59</v>
      </c>
      <c r="H461" s="42">
        <f>H452+H460</f>
        <v>0</v>
      </c>
      <c r="I461" s="42">
        <f>I452+I460</f>
        <v>62047.59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144090.63</v>
      </c>
      <c r="G465" s="18">
        <v>5179.49</v>
      </c>
      <c r="H465" s="18">
        <v>-229.6</v>
      </c>
      <c r="I465" s="18"/>
      <c r="J465" s="18">
        <v>62041.35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8086519.9699999997</v>
      </c>
      <c r="G468" s="18">
        <v>163561.31</v>
      </c>
      <c r="H468" s="18">
        <v>224315.88</v>
      </c>
      <c r="I468" s="18"/>
      <c r="J468" s="18">
        <v>6.24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8086519.9699999997</v>
      </c>
      <c r="G470" s="53">
        <f>SUM(G468:G469)</f>
        <v>163561.31</v>
      </c>
      <c r="H470" s="53">
        <f>SUM(H468:H469)</f>
        <v>224315.88</v>
      </c>
      <c r="I470" s="53">
        <f>SUM(I468:I469)</f>
        <v>0</v>
      </c>
      <c r="J470" s="53">
        <f>SUM(J468:J469)</f>
        <v>6.24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8077454.5700000003</v>
      </c>
      <c r="G472" s="18">
        <v>164948.5</v>
      </c>
      <c r="H472" s="18">
        <v>224315.88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8077454.5700000003</v>
      </c>
      <c r="G474" s="53">
        <f>SUM(G472:G473)</f>
        <v>164948.5</v>
      </c>
      <c r="H474" s="53">
        <f>SUM(H472:H473)</f>
        <v>224315.88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153156.02999999933</v>
      </c>
      <c r="G476" s="53">
        <f>(G465+G470)- G474</f>
        <v>3792.2999999999884</v>
      </c>
      <c r="H476" s="53">
        <f>(H465+H470)- H474</f>
        <v>-229.60000000000582</v>
      </c>
      <c r="I476" s="53">
        <f>(I465+I470)- I474</f>
        <v>0</v>
      </c>
      <c r="J476" s="53">
        <f>(J465+J470)- J474</f>
        <v>62047.59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5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913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914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3494639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2.69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700000</v>
      </c>
      <c r="G495" s="18"/>
      <c r="H495" s="18"/>
      <c r="I495" s="18"/>
      <c r="J495" s="18"/>
      <c r="K495" s="53">
        <f>SUM(F495:J495)</f>
        <v>700000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700000</v>
      </c>
      <c r="G497" s="18"/>
      <c r="H497" s="18"/>
      <c r="I497" s="18"/>
      <c r="J497" s="18"/>
      <c r="K497" s="53">
        <f t="shared" si="35"/>
        <v>700000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0</v>
      </c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0</v>
      </c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0</v>
      </c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0</v>
      </c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893966.16</v>
      </c>
      <c r="G521" s="18">
        <v>444334.28</v>
      </c>
      <c r="H521" s="18">
        <v>100689.56</v>
      </c>
      <c r="I521" s="18">
        <v>4837.22</v>
      </c>
      <c r="J521" s="18">
        <v>4346.7700000000004</v>
      </c>
      <c r="K521" s="18">
        <v>40</v>
      </c>
      <c r="L521" s="88">
        <f>SUM(F521:K521)</f>
        <v>1448213.99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893966.16</v>
      </c>
      <c r="G524" s="108">
        <f t="shared" ref="G524:L524" si="36">SUM(G521:G523)</f>
        <v>444334.28</v>
      </c>
      <c r="H524" s="108">
        <f t="shared" si="36"/>
        <v>100689.56</v>
      </c>
      <c r="I524" s="108">
        <f t="shared" si="36"/>
        <v>4837.22</v>
      </c>
      <c r="J524" s="108">
        <f t="shared" si="36"/>
        <v>4346.7700000000004</v>
      </c>
      <c r="K524" s="108">
        <f t="shared" si="36"/>
        <v>40</v>
      </c>
      <c r="L524" s="89">
        <f t="shared" si="36"/>
        <v>1448213.99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217498.5</v>
      </c>
      <c r="G526" s="18">
        <v>101114.05</v>
      </c>
      <c r="H526" s="18">
        <v>184201.14</v>
      </c>
      <c r="I526" s="18">
        <v>717.35</v>
      </c>
      <c r="J526" s="18"/>
      <c r="K526" s="18"/>
      <c r="L526" s="88">
        <f>SUM(F526:K526)</f>
        <v>503531.04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217498.5</v>
      </c>
      <c r="G529" s="89">
        <f t="shared" ref="G529:L529" si="37">SUM(G526:G528)</f>
        <v>101114.05</v>
      </c>
      <c r="H529" s="89">
        <f t="shared" si="37"/>
        <v>184201.14</v>
      </c>
      <c r="I529" s="89">
        <f t="shared" si="37"/>
        <v>717.35</v>
      </c>
      <c r="J529" s="89">
        <f t="shared" si="37"/>
        <v>0</v>
      </c>
      <c r="K529" s="89">
        <f t="shared" si="37"/>
        <v>0</v>
      </c>
      <c r="L529" s="89">
        <f t="shared" si="37"/>
        <v>503531.04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19647.46</v>
      </c>
      <c r="G531" s="18">
        <v>7961.86</v>
      </c>
      <c r="H531" s="18">
        <v>261.08999999999997</v>
      </c>
      <c r="I531" s="18"/>
      <c r="J531" s="18"/>
      <c r="K531" s="18"/>
      <c r="L531" s="88">
        <f>SUM(F531:K531)</f>
        <v>27870.41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19647.46</v>
      </c>
      <c r="G534" s="89">
        <f t="shared" ref="G534:L534" si="38">SUM(G531:G533)</f>
        <v>7961.86</v>
      </c>
      <c r="H534" s="89">
        <f t="shared" si="38"/>
        <v>261.08999999999997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27870.41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22618.5</v>
      </c>
      <c r="I541" s="18"/>
      <c r="J541" s="18"/>
      <c r="K541" s="18"/>
      <c r="L541" s="88">
        <f>SUM(F541:K541)</f>
        <v>22618.5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22618.5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22618.5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1131112.1200000001</v>
      </c>
      <c r="G545" s="89">
        <f t="shared" ref="G545:L545" si="41">G524+G529+G534+G539+G544</f>
        <v>553410.19000000006</v>
      </c>
      <c r="H545" s="89">
        <f t="shared" si="41"/>
        <v>307770.29000000004</v>
      </c>
      <c r="I545" s="89">
        <f t="shared" si="41"/>
        <v>5554.5700000000006</v>
      </c>
      <c r="J545" s="89">
        <f t="shared" si="41"/>
        <v>4346.7700000000004</v>
      </c>
      <c r="K545" s="89">
        <f t="shared" si="41"/>
        <v>40</v>
      </c>
      <c r="L545" s="89">
        <f t="shared" si="41"/>
        <v>2002233.94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1448213.99</v>
      </c>
      <c r="G549" s="87">
        <f>L526</f>
        <v>503531.04</v>
      </c>
      <c r="H549" s="87">
        <f>L531</f>
        <v>27870.41</v>
      </c>
      <c r="I549" s="87">
        <f>L536</f>
        <v>0</v>
      </c>
      <c r="J549" s="87">
        <f>L541</f>
        <v>22618.5</v>
      </c>
      <c r="K549" s="87">
        <f>SUM(F549:J549)</f>
        <v>2002233.94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1448213.99</v>
      </c>
      <c r="G552" s="89">
        <f t="shared" si="42"/>
        <v>503531.04</v>
      </c>
      <c r="H552" s="89">
        <f t="shared" si="42"/>
        <v>27870.41</v>
      </c>
      <c r="I552" s="89">
        <f t="shared" si="42"/>
        <v>0</v>
      </c>
      <c r="J552" s="89">
        <f t="shared" si="42"/>
        <v>22618.5</v>
      </c>
      <c r="K552" s="89">
        <f t="shared" si="42"/>
        <v>2002233.94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10370</v>
      </c>
      <c r="G562" s="18">
        <v>793.34</v>
      </c>
      <c r="H562" s="18"/>
      <c r="I562" s="18"/>
      <c r="J562" s="18"/>
      <c r="K562" s="18"/>
      <c r="L562" s="88">
        <f>SUM(F562:K562)</f>
        <v>11163.34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10370</v>
      </c>
      <c r="G565" s="89">
        <f t="shared" si="44"/>
        <v>793.34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11163.34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10370</v>
      </c>
      <c r="G571" s="89">
        <f t="shared" ref="G571:L571" si="46">G560+G565+G570</f>
        <v>793.34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11163.34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52709.01</v>
      </c>
      <c r="G582" s="18"/>
      <c r="H582" s="18"/>
      <c r="I582" s="87">
        <f t="shared" si="47"/>
        <v>52709.01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135704.5</v>
      </c>
      <c r="I591" s="18"/>
      <c r="J591" s="18"/>
      <c r="K591" s="104">
        <f t="shared" ref="K591:K597" si="48">SUM(H591:J591)</f>
        <v>135704.5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22618.5</v>
      </c>
      <c r="I592" s="18"/>
      <c r="J592" s="18"/>
      <c r="K592" s="104">
        <f t="shared" si="48"/>
        <v>22618.5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20422.400000000001</v>
      </c>
      <c r="I594" s="18"/>
      <c r="J594" s="18"/>
      <c r="K594" s="104">
        <f t="shared" si="48"/>
        <v>20422.400000000001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37505.56</v>
      </c>
      <c r="I595" s="18"/>
      <c r="J595" s="18"/>
      <c r="K595" s="104">
        <f t="shared" si="48"/>
        <v>37505.56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216250.96</v>
      </c>
      <c r="I598" s="108">
        <f>SUM(I591:I597)</f>
        <v>0</v>
      </c>
      <c r="J598" s="108">
        <f>SUM(J591:J597)</f>
        <v>0</v>
      </c>
      <c r="K598" s="108">
        <f>SUM(K591:K597)</f>
        <v>216250.96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140288.67000000001</v>
      </c>
      <c r="I604" s="18"/>
      <c r="J604" s="18"/>
      <c r="K604" s="104">
        <f>SUM(H604:J604)</f>
        <v>140288.67000000001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140288.67000000001</v>
      </c>
      <c r="I605" s="108">
        <f>SUM(I602:I604)</f>
        <v>0</v>
      </c>
      <c r="J605" s="108">
        <f>SUM(J602:J604)</f>
        <v>0</v>
      </c>
      <c r="K605" s="108">
        <f>SUM(K602:K604)</f>
        <v>140288.67000000001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5380</v>
      </c>
      <c r="G611" s="18">
        <v>1030.6099999999999</v>
      </c>
      <c r="H611" s="18"/>
      <c r="I611" s="18"/>
      <c r="J611" s="18"/>
      <c r="K611" s="18"/>
      <c r="L611" s="88">
        <f>SUM(F611:K611)</f>
        <v>6410.61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5380</v>
      </c>
      <c r="G614" s="108">
        <f t="shared" si="49"/>
        <v>1030.6099999999999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6410.61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219074.77000000002</v>
      </c>
      <c r="H617" s="109">
        <f>SUM(F52)</f>
        <v>219074.77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3792.2999999999993</v>
      </c>
      <c r="H618" s="109">
        <f>SUM(G52)</f>
        <v>3792.3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2699.8499999999985</v>
      </c>
      <c r="H619" s="109">
        <f>SUM(H52)</f>
        <v>2699.85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62047.59</v>
      </c>
      <c r="H621" s="109">
        <f>SUM(J52)</f>
        <v>62047.59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153156.03</v>
      </c>
      <c r="H622" s="109">
        <f>F476</f>
        <v>153156.02999999933</v>
      </c>
      <c r="I622" s="121" t="s">
        <v>101</v>
      </c>
      <c r="J622" s="109">
        <f t="shared" ref="J622:J655" si="50">G622-H622</f>
        <v>6.6938810050487518E-10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3792.3</v>
      </c>
      <c r="H623" s="109">
        <f>G476</f>
        <v>3792.2999999999884</v>
      </c>
      <c r="I623" s="121" t="s">
        <v>102</v>
      </c>
      <c r="J623" s="109">
        <f t="shared" si="50"/>
        <v>1.1823431123048067E-11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-229.6</v>
      </c>
      <c r="H624" s="109">
        <f>H476</f>
        <v>-229.60000000000582</v>
      </c>
      <c r="I624" s="121" t="s">
        <v>103</v>
      </c>
      <c r="J624" s="109">
        <f t="shared" si="50"/>
        <v>5.8264504332328215E-12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62047.59</v>
      </c>
      <c r="H626" s="109">
        <f>J476</f>
        <v>62047.59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8086519.9699999997</v>
      </c>
      <c r="H627" s="104">
        <f>SUM(F468)</f>
        <v>8086519.9699999997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163561.31</v>
      </c>
      <c r="H628" s="104">
        <f>SUM(G468)</f>
        <v>163561.31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224315.87999999998</v>
      </c>
      <c r="H629" s="104">
        <f>SUM(H468)</f>
        <v>224315.88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6.24</v>
      </c>
      <c r="H631" s="104">
        <f>SUM(J468)</f>
        <v>6.24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8077454.5700000003</v>
      </c>
      <c r="H632" s="104">
        <f>SUM(F472)</f>
        <v>8077454.5700000003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224315.88</v>
      </c>
      <c r="H633" s="104">
        <f>SUM(H472)</f>
        <v>224315.88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164948.5</v>
      </c>
      <c r="H635" s="104">
        <f>SUM(G472)</f>
        <v>164948.5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6.24</v>
      </c>
      <c r="H637" s="164">
        <f>SUM(J468)</f>
        <v>6.24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62047.59</v>
      </c>
      <c r="H640" s="104">
        <f>SUM(G461)</f>
        <v>62047.59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62047.59</v>
      </c>
      <c r="H642" s="104">
        <f>SUM(I461)</f>
        <v>62047.59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6.24</v>
      </c>
      <c r="H644" s="104">
        <f>H408</f>
        <v>6.24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6.24</v>
      </c>
      <c r="H646" s="104">
        <f>L408</f>
        <v>6.24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216250.96</v>
      </c>
      <c r="H647" s="104">
        <f>L208+L226+L244</f>
        <v>216250.96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140288.67000000001</v>
      </c>
      <c r="H648" s="104">
        <f>(J257+J338)-(J255+J336)</f>
        <v>140288.67000000001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216250.96</v>
      </c>
      <c r="H649" s="104">
        <f>H598</f>
        <v>216250.96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0</v>
      </c>
      <c r="H651" s="104">
        <f>J598</f>
        <v>0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7670789.9199999999</v>
      </c>
      <c r="G660" s="19">
        <f>(L229+L309+L359)</f>
        <v>0</v>
      </c>
      <c r="H660" s="19">
        <f>(L247+L328+L360)</f>
        <v>0</v>
      </c>
      <c r="I660" s="19">
        <f>SUM(F660:H660)</f>
        <v>7670789.9199999999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49799.27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49799.27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216250.96</v>
      </c>
      <c r="G662" s="19">
        <f>(L226+L306)-(J226+J306)</f>
        <v>0</v>
      </c>
      <c r="H662" s="19">
        <f>(L244+L325)-(J244+J325)</f>
        <v>0</v>
      </c>
      <c r="I662" s="19">
        <f>SUM(F662:H662)</f>
        <v>216250.96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199408.29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199408.29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7205331.4000000004</v>
      </c>
      <c r="G664" s="19">
        <f>G660-SUM(G661:G663)</f>
        <v>0</v>
      </c>
      <c r="H664" s="19">
        <f>H660-SUM(H661:H663)</f>
        <v>0</v>
      </c>
      <c r="I664" s="19">
        <f>I660-SUM(I661:I663)</f>
        <v>7205331.4000000004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378.43</v>
      </c>
      <c r="G665" s="248"/>
      <c r="H665" s="248"/>
      <c r="I665" s="19">
        <f>SUM(F665:H665)</f>
        <v>378.43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19040.060000000001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19040.060000000001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19040.060000000001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19040.060000000001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PLYMOUTH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2265885.65</v>
      </c>
      <c r="C9" s="229">
        <f>'DOE25'!G197+'DOE25'!G215+'DOE25'!G233+'DOE25'!G276+'DOE25'!G295+'DOE25'!G314</f>
        <v>959390.54999999993</v>
      </c>
    </row>
    <row r="10" spans="1:3" x14ac:dyDescent="0.2">
      <c r="A10" t="s">
        <v>779</v>
      </c>
      <c r="B10" s="240">
        <v>2217296.5299999998</v>
      </c>
      <c r="C10" s="240">
        <v>955374.14</v>
      </c>
    </row>
    <row r="11" spans="1:3" x14ac:dyDescent="0.2">
      <c r="A11" t="s">
        <v>780</v>
      </c>
      <c r="B11" s="240"/>
      <c r="C11" s="240"/>
    </row>
    <row r="12" spans="1:3" x14ac:dyDescent="0.2">
      <c r="A12" t="s">
        <v>781</v>
      </c>
      <c r="B12" s="240">
        <v>48589.120000000003</v>
      </c>
      <c r="C12" s="240">
        <v>4016.41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2265885.65</v>
      </c>
      <c r="C13" s="231">
        <f>SUM(C10:C12)</f>
        <v>959390.55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904336.16</v>
      </c>
      <c r="C18" s="229">
        <f>'DOE25'!G198+'DOE25'!G216+'DOE25'!G234+'DOE25'!G277+'DOE25'!G296+'DOE25'!G315</f>
        <v>445127.62</v>
      </c>
    </row>
    <row r="19" spans="1:3" x14ac:dyDescent="0.2">
      <c r="A19" t="s">
        <v>779</v>
      </c>
      <c r="B19" s="240">
        <v>452292.67</v>
      </c>
      <c r="C19" s="240">
        <v>210331.72</v>
      </c>
    </row>
    <row r="20" spans="1:3" x14ac:dyDescent="0.2">
      <c r="A20" t="s">
        <v>780</v>
      </c>
      <c r="B20" s="240">
        <v>407293.85</v>
      </c>
      <c r="C20" s="240">
        <v>217335.26</v>
      </c>
    </row>
    <row r="21" spans="1:3" x14ac:dyDescent="0.2">
      <c r="A21" t="s">
        <v>781</v>
      </c>
      <c r="B21" s="240">
        <v>44749.64</v>
      </c>
      <c r="C21" s="240">
        <v>17460.64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904336.16</v>
      </c>
      <c r="C22" s="231">
        <f>SUM(C19:C21)</f>
        <v>445127.62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160807.95000000001</v>
      </c>
      <c r="C36" s="235">
        <f>'DOE25'!G200+'DOE25'!G218+'DOE25'!G236+'DOE25'!G279+'DOE25'!G298+'DOE25'!G317</f>
        <v>27138.2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160807.95000000001</v>
      </c>
      <c r="C39" s="240">
        <v>27138.2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160807.95000000001</v>
      </c>
      <c r="C40" s="231">
        <f>SUM(C37:C39)</f>
        <v>27138.2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FY2015-2016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9" sqref="D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PLYMOUTH SCHOOL DISTRICT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4959181.87</v>
      </c>
      <c r="D5" s="20">
        <f>SUM('DOE25'!L197:L200)+SUM('DOE25'!L215:L218)+SUM('DOE25'!L233:L236)-F5-G5</f>
        <v>4867454.1500000004</v>
      </c>
      <c r="E5" s="243"/>
      <c r="F5" s="255">
        <f>SUM('DOE25'!J197:J200)+SUM('DOE25'!J215:J218)+SUM('DOE25'!J233:J236)</f>
        <v>80483.210000000006</v>
      </c>
      <c r="G5" s="53">
        <f>SUM('DOE25'!K197:K200)+SUM('DOE25'!K215:K218)+SUM('DOE25'!K233:K236)</f>
        <v>11244.51</v>
      </c>
      <c r="H5" s="259"/>
    </row>
    <row r="6" spans="1:9" x14ac:dyDescent="0.2">
      <c r="A6" s="32">
        <v>2100</v>
      </c>
      <c r="B6" t="s">
        <v>801</v>
      </c>
      <c r="C6" s="245">
        <f t="shared" si="0"/>
        <v>663954.31999999995</v>
      </c>
      <c r="D6" s="20">
        <f>'DOE25'!L202+'DOE25'!L220+'DOE25'!L238-F6-G6</f>
        <v>663954.31999999995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153401.44999999998</v>
      </c>
      <c r="D7" s="20">
        <f>'DOE25'!L203+'DOE25'!L221+'DOE25'!L239-F7-G7</f>
        <v>152887.44999999998</v>
      </c>
      <c r="E7" s="243"/>
      <c r="F7" s="255">
        <f>'DOE25'!J203+'DOE25'!J221+'DOE25'!J239</f>
        <v>514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214637.33000000002</v>
      </c>
      <c r="D8" s="243"/>
      <c r="E8" s="20">
        <f>'DOE25'!L204+'DOE25'!L222+'DOE25'!L240-F8-G8-D9-D11</f>
        <v>211597.08000000002</v>
      </c>
      <c r="F8" s="255">
        <f>'DOE25'!J204+'DOE25'!J222+'DOE25'!J240</f>
        <v>0</v>
      </c>
      <c r="G8" s="53">
        <f>'DOE25'!K204+'DOE25'!K222+'DOE25'!K240</f>
        <v>3040.25</v>
      </c>
      <c r="H8" s="259"/>
    </row>
    <row r="9" spans="1:9" x14ac:dyDescent="0.2">
      <c r="A9" s="32">
        <v>2310</v>
      </c>
      <c r="B9" t="s">
        <v>818</v>
      </c>
      <c r="C9" s="245">
        <f t="shared" si="0"/>
        <v>24272.880000000001</v>
      </c>
      <c r="D9" s="244">
        <v>24272.880000000001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6000</v>
      </c>
      <c r="D10" s="243"/>
      <c r="E10" s="244">
        <v>6000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91110.75</v>
      </c>
      <c r="D11" s="244">
        <v>91110.75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387937.5</v>
      </c>
      <c r="D12" s="20">
        <f>'DOE25'!L205+'DOE25'!L223+'DOE25'!L241-F12-G12</f>
        <v>386349.5</v>
      </c>
      <c r="E12" s="243"/>
      <c r="F12" s="255">
        <f>'DOE25'!J205+'DOE25'!J223+'DOE25'!J241</f>
        <v>0</v>
      </c>
      <c r="G12" s="53">
        <f>'DOE25'!K205+'DOE25'!K223+'DOE25'!K241</f>
        <v>1588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157.68</v>
      </c>
      <c r="D13" s="243"/>
      <c r="E13" s="20">
        <f>'DOE25'!L206+'DOE25'!L224+'DOE25'!L242-F13-G13</f>
        <v>157.68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570620.80000000005</v>
      </c>
      <c r="D14" s="20">
        <f>'DOE25'!L207+'DOE25'!L225+'DOE25'!L243-F14-G14</f>
        <v>554191.39</v>
      </c>
      <c r="E14" s="243"/>
      <c r="F14" s="255">
        <f>'DOE25'!J207+'DOE25'!J225+'DOE25'!J243</f>
        <v>16429.41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216250.96</v>
      </c>
      <c r="D15" s="20">
        <f>'DOE25'!L208+'DOE25'!L226+'DOE25'!L244-F15-G15</f>
        <v>216250.96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82632.12</v>
      </c>
      <c r="D19" s="20">
        <f>'DOE25'!L253-F19-G19</f>
        <v>82632.12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3725</v>
      </c>
      <c r="D22" s="243"/>
      <c r="E22" s="243"/>
      <c r="F22" s="255">
        <f>'DOE25'!L255+'DOE25'!L336</f>
        <v>3725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709571.91</v>
      </c>
      <c r="D25" s="243"/>
      <c r="E25" s="243"/>
      <c r="F25" s="258"/>
      <c r="G25" s="256"/>
      <c r="H25" s="257">
        <f>'DOE25'!L260+'DOE25'!L261+'DOE25'!L341+'DOE25'!L342</f>
        <v>709571.91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164948.5</v>
      </c>
      <c r="D29" s="20">
        <f>'DOE25'!L358+'DOE25'!L359+'DOE25'!L360-'DOE25'!I367-F29-G29</f>
        <v>164948.5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224315.88</v>
      </c>
      <c r="D31" s="20">
        <f>'DOE25'!L290+'DOE25'!L309+'DOE25'!L328+'DOE25'!L333+'DOE25'!L334+'DOE25'!L335-F31-G31</f>
        <v>175859.78000000003</v>
      </c>
      <c r="E31" s="243"/>
      <c r="F31" s="255">
        <f>'DOE25'!J290+'DOE25'!J309+'DOE25'!J328+'DOE25'!J333+'DOE25'!J334+'DOE25'!J335</f>
        <v>42862.05</v>
      </c>
      <c r="G31" s="53">
        <f>'DOE25'!K290+'DOE25'!K309+'DOE25'!K328+'DOE25'!K333+'DOE25'!K334+'DOE25'!K335</f>
        <v>5594.0499999999993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7379911.8000000007</v>
      </c>
      <c r="E33" s="246">
        <f>SUM(E5:E31)</f>
        <v>217754.76</v>
      </c>
      <c r="F33" s="246">
        <f>SUM(F5:F31)</f>
        <v>144013.67000000001</v>
      </c>
      <c r="G33" s="246">
        <f>SUM(G5:G31)</f>
        <v>21466.809999999998</v>
      </c>
      <c r="H33" s="246">
        <f>SUM(H5:H31)</f>
        <v>709571.91</v>
      </c>
    </row>
    <row r="35" spans="2:8" ht="12" thickBot="1" x14ac:dyDescent="0.25">
      <c r="B35" s="253" t="s">
        <v>847</v>
      </c>
      <c r="D35" s="254">
        <f>E33</f>
        <v>217754.76</v>
      </c>
      <c r="E35" s="249"/>
    </row>
    <row r="36" spans="2:8" ht="12" thickTop="1" x14ac:dyDescent="0.2">
      <c r="B36" t="s">
        <v>815</v>
      </c>
      <c r="D36" s="20">
        <f>D33</f>
        <v>7379911.8000000007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PLYMOUTH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186451.63</v>
      </c>
      <c r="D8" s="95">
        <f>'DOE25'!G9</f>
        <v>-15633.57</v>
      </c>
      <c r="E8" s="95">
        <f>'DOE25'!H9</f>
        <v>-20077.7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62047.59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27509.85</v>
      </c>
      <c r="D12" s="95">
        <f>'DOE25'!G13</f>
        <v>19425.87</v>
      </c>
      <c r="E12" s="95">
        <f>'DOE25'!H13</f>
        <v>22777.55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5113.29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219074.77000000002</v>
      </c>
      <c r="D18" s="41">
        <f>SUM(D8:D17)</f>
        <v>3792.2999999999993</v>
      </c>
      <c r="E18" s="41">
        <f>SUM(E8:E17)</f>
        <v>2699.8499999999985</v>
      </c>
      <c r="F18" s="41">
        <f>SUM(F8:F17)</f>
        <v>0</v>
      </c>
      <c r="G18" s="41">
        <f>SUM(G8:G17)</f>
        <v>62047.59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26093.360000000001</v>
      </c>
      <c r="D23" s="95">
        <f>'DOE25'!G24</f>
        <v>0</v>
      </c>
      <c r="E23" s="95">
        <f>'DOE25'!H24</f>
        <v>916.95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367.14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39458.239999999998</v>
      </c>
      <c r="D29" s="95">
        <f>'DOE25'!G30</f>
        <v>0</v>
      </c>
      <c r="E29" s="95">
        <f>'DOE25'!H30</f>
        <v>2012.5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65918.739999999991</v>
      </c>
      <c r="D31" s="41">
        <f>SUM(D21:D30)</f>
        <v>0</v>
      </c>
      <c r="E31" s="41">
        <f>SUM(E21:E30)</f>
        <v>2929.45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3792.3</v>
      </c>
      <c r="E47" s="95">
        <f>'DOE25'!H48</f>
        <v>-229.6</v>
      </c>
      <c r="F47" s="95">
        <f>'DOE25'!I48</f>
        <v>0</v>
      </c>
      <c r="G47" s="95">
        <f>'DOE25'!J48</f>
        <v>62047.59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2891.29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150264.74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153156.03</v>
      </c>
      <c r="D50" s="41">
        <f>SUM(D34:D49)</f>
        <v>3792.3</v>
      </c>
      <c r="E50" s="41">
        <f>SUM(E34:E49)</f>
        <v>-229.6</v>
      </c>
      <c r="F50" s="41">
        <f>SUM(F34:F49)</f>
        <v>0</v>
      </c>
      <c r="G50" s="41">
        <f>SUM(G34:G49)</f>
        <v>62047.59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219074.77</v>
      </c>
      <c r="D51" s="41">
        <f>D50+D31</f>
        <v>3792.3</v>
      </c>
      <c r="E51" s="41">
        <f>E50+E31</f>
        <v>2699.85</v>
      </c>
      <c r="F51" s="41">
        <f>F50+F31</f>
        <v>0</v>
      </c>
      <c r="G51" s="41">
        <f>G50+G31</f>
        <v>62047.59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3587219.75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465185.55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1.38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6.24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49799.27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351969.04000000004</v>
      </c>
      <c r="D61" s="95">
        <f>SUM('DOE25'!G98:G110)</f>
        <v>0</v>
      </c>
      <c r="E61" s="95">
        <f>SUM('DOE25'!H98:H110)</f>
        <v>3610.33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817155.97</v>
      </c>
      <c r="D62" s="130">
        <f>SUM(D57:D61)</f>
        <v>49799.27</v>
      </c>
      <c r="E62" s="130">
        <f>SUM(E57:E61)</f>
        <v>3610.33</v>
      </c>
      <c r="F62" s="130">
        <f>SUM(F57:F61)</f>
        <v>0</v>
      </c>
      <c r="G62" s="130">
        <f>SUM(G57:G61)</f>
        <v>6.24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4404375.72</v>
      </c>
      <c r="D63" s="22">
        <f>D56+D62</f>
        <v>49799.27</v>
      </c>
      <c r="E63" s="22">
        <f>E56+E62</f>
        <v>3610.33</v>
      </c>
      <c r="F63" s="22">
        <f>F56+F62</f>
        <v>0</v>
      </c>
      <c r="G63" s="22">
        <f>G56+G62</f>
        <v>6.24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2328943.25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663181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2992124.25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418355.1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112824.68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1927.12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531179.78</v>
      </c>
      <c r="D78" s="130">
        <f>SUM(D72:D77)</f>
        <v>1927.12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3523304.0300000003</v>
      </c>
      <c r="D81" s="130">
        <f>SUM(D79:D80)+D78+D70</f>
        <v>1927.12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156308</v>
      </c>
      <c r="D88" s="95">
        <f>SUM('DOE25'!G153:G161)</f>
        <v>111834.92</v>
      </c>
      <c r="E88" s="95">
        <f>SUM('DOE25'!H153:H161)</f>
        <v>220705.55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2532.2199999999998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158840.22</v>
      </c>
      <c r="D91" s="131">
        <f>SUM(D85:D90)</f>
        <v>111834.92</v>
      </c>
      <c r="E91" s="131">
        <f>SUM(E85:E90)</f>
        <v>220705.55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8086519.9699999997</v>
      </c>
      <c r="D104" s="86">
        <f>D63+D81+D91+D103</f>
        <v>163561.31</v>
      </c>
      <c r="E104" s="86">
        <f>E63+E81+E91+E103</f>
        <v>224315.87999999998</v>
      </c>
      <c r="F104" s="86">
        <f>F63+F81+F91+F103</f>
        <v>0</v>
      </c>
      <c r="G104" s="86">
        <f>G63+G81+G103</f>
        <v>6.24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3321114.19</v>
      </c>
      <c r="D109" s="24" t="s">
        <v>289</v>
      </c>
      <c r="E109" s="95">
        <f>('DOE25'!L276)+('DOE25'!L295)+('DOE25'!L314)</f>
        <v>126175.44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1456243.51</v>
      </c>
      <c r="D110" s="24" t="s">
        <v>289</v>
      </c>
      <c r="E110" s="95">
        <f>('DOE25'!L277)+('DOE25'!L296)+('DOE25'!L315)</f>
        <v>3133.82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181824.16999999998</v>
      </c>
      <c r="D112" s="24" t="s">
        <v>289</v>
      </c>
      <c r="E112" s="95">
        <f>+('DOE25'!L279)+('DOE25'!L298)+('DOE25'!L317)</f>
        <v>61763.03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82632.12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5041813.99</v>
      </c>
      <c r="D115" s="86">
        <f>SUM(D109:D114)</f>
        <v>0</v>
      </c>
      <c r="E115" s="86">
        <f>SUM(E109:E114)</f>
        <v>191072.29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663954.31999999995</v>
      </c>
      <c r="D118" s="24" t="s">
        <v>289</v>
      </c>
      <c r="E118" s="95">
        <f>+('DOE25'!L281)+('DOE25'!L300)+('DOE25'!L319)</f>
        <v>16419.46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153401.44999999998</v>
      </c>
      <c r="D119" s="24" t="s">
        <v>289</v>
      </c>
      <c r="E119" s="95">
        <f>+('DOE25'!L282)+('DOE25'!L301)+('DOE25'!L320)</f>
        <v>3719.6000000000004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330020.96000000002</v>
      </c>
      <c r="D120" s="24" t="s">
        <v>289</v>
      </c>
      <c r="E120" s="95">
        <f>+('DOE25'!L283)+('DOE25'!L302)+('DOE25'!L321)</f>
        <v>8003.1299999999992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387937.5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157.68</v>
      </c>
      <c r="D122" s="24" t="s">
        <v>289</v>
      </c>
      <c r="E122" s="95">
        <f>+('DOE25'!L285)+('DOE25'!L304)+('DOE25'!L323)</f>
        <v>5101.3999999999996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570620.80000000005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216250.96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164948.5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2322343.67</v>
      </c>
      <c r="D128" s="86">
        <f>SUM(D118:D127)</f>
        <v>164948.5</v>
      </c>
      <c r="E128" s="86">
        <f>SUM(E118:E127)</f>
        <v>33243.589999999997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3725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700000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9571.91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6.24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-6.24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713296.91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8077454.5700000003</v>
      </c>
      <c r="D145" s="86">
        <f>(D115+D128+D144)</f>
        <v>164948.5</v>
      </c>
      <c r="E145" s="86">
        <f>(E115+E128+E144)</f>
        <v>224315.88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5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7/10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08/15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3494639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2.69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700000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700000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700000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700000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PLYMOUTH SCHOOL DISTRICT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19040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19040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3447290</v>
      </c>
      <c r="D10" s="182">
        <f>ROUND((C10/$C$28)*100,1)</f>
        <v>44.7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1459377</v>
      </c>
      <c r="D11" s="182">
        <f>ROUND((C11/$C$28)*100,1)</f>
        <v>18.899999999999999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243587</v>
      </c>
      <c r="D13" s="182">
        <f>ROUND((C13/$C$28)*100,1)</f>
        <v>3.2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680374</v>
      </c>
      <c r="D15" s="182">
        <f t="shared" ref="D15:D27" si="0">ROUND((C15/$C$28)*100,1)</f>
        <v>8.8000000000000007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157121</v>
      </c>
      <c r="D16" s="182">
        <f t="shared" si="0"/>
        <v>2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338024</v>
      </c>
      <c r="D17" s="182">
        <f t="shared" si="0"/>
        <v>4.4000000000000004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387938</v>
      </c>
      <c r="D18" s="182">
        <f t="shared" si="0"/>
        <v>5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5259</v>
      </c>
      <c r="D19" s="182">
        <f t="shared" si="0"/>
        <v>0.1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570621</v>
      </c>
      <c r="D20" s="182">
        <f t="shared" si="0"/>
        <v>7.4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216251</v>
      </c>
      <c r="D21" s="182">
        <f t="shared" si="0"/>
        <v>2.8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82632</v>
      </c>
      <c r="D24" s="182">
        <f t="shared" si="0"/>
        <v>1.1000000000000001</v>
      </c>
    </row>
    <row r="25" spans="1:4" x14ac:dyDescent="0.2">
      <c r="A25">
        <v>5120</v>
      </c>
      <c r="B25" t="s">
        <v>720</v>
      </c>
      <c r="C25" s="179">
        <f>ROUND('DOE25'!L261+'DOE25'!L342,0)</f>
        <v>9572</v>
      </c>
      <c r="D25" s="182">
        <f t="shared" si="0"/>
        <v>0.1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115149.73000000001</v>
      </c>
      <c r="D27" s="182">
        <f t="shared" si="0"/>
        <v>1.5</v>
      </c>
    </row>
    <row r="28" spans="1:4" x14ac:dyDescent="0.2">
      <c r="B28" s="187" t="s">
        <v>723</v>
      </c>
      <c r="C28" s="180">
        <f>SUM(C10:C27)</f>
        <v>7713195.7300000004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3725</v>
      </c>
    </row>
    <row r="30" spans="1:4" x14ac:dyDescent="0.2">
      <c r="B30" s="187" t="s">
        <v>729</v>
      </c>
      <c r="C30" s="180">
        <f>SUM(C28:C29)</f>
        <v>7716920.7300000004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700000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3587220</v>
      </c>
      <c r="D35" s="182">
        <f t="shared" ref="D35:D40" si="1">ROUND((C35/$C$41)*100,1)</f>
        <v>42.6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820772.29</v>
      </c>
      <c r="D36" s="182">
        <f t="shared" si="1"/>
        <v>9.6999999999999993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2992124</v>
      </c>
      <c r="D37" s="182">
        <f t="shared" si="1"/>
        <v>35.5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533107</v>
      </c>
      <c r="D38" s="182">
        <f t="shared" si="1"/>
        <v>6.3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491381</v>
      </c>
      <c r="D39" s="182">
        <f t="shared" si="1"/>
        <v>5.8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8424604.2899999991</v>
      </c>
      <c r="D41" s="184">
        <f>SUM(D35:D40)</f>
        <v>99.899999999999991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770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767</v>
      </c>
      <c r="B2" s="301"/>
      <c r="C2" s="301"/>
      <c r="D2" s="301"/>
      <c r="E2" s="301"/>
      <c r="F2" s="298" t="str">
        <f>'DOE25'!A2</f>
        <v>PLYMOUTH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6" t="s">
        <v>771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848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2016-08-22T11:59:21Z</cp:lastPrinted>
  <dcterms:created xsi:type="dcterms:W3CDTF">1997-12-04T19:04:30Z</dcterms:created>
  <dcterms:modified xsi:type="dcterms:W3CDTF">2016-08-22T11:59:25Z</dcterms:modified>
</cp:coreProperties>
</file>