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1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29" i="2" l="1"/>
  <c r="C45" i="2"/>
  <c r="G51" i="1"/>
  <c r="F51" i="1"/>
  <c r="C37" i="10"/>
  <c r="F40" i="2"/>
  <c r="D39" i="2"/>
  <c r="G655" i="1"/>
  <c r="J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/>
  <c r="C18" i="13"/>
  <c r="L252" i="1"/>
  <c r="F19" i="13"/>
  <c r="G19" i="13"/>
  <c r="L253" i="1"/>
  <c r="D19" i="13"/>
  <c r="C19" i="13"/>
  <c r="F29" i="13"/>
  <c r="G29" i="13"/>
  <c r="L358" i="1"/>
  <c r="L359" i="1"/>
  <c r="L360" i="1"/>
  <c r="I367" i="1"/>
  <c r="I369" i="1"/>
  <c r="H634" i="1"/>
  <c r="J634" i="1"/>
  <c r="J290" i="1"/>
  <c r="J309" i="1"/>
  <c r="J338" i="1"/>
  <c r="J328" i="1"/>
  <c r="K290" i="1"/>
  <c r="K309" i="1"/>
  <c r="K328" i="1"/>
  <c r="L276" i="1"/>
  <c r="L277" i="1"/>
  <c r="L278" i="1"/>
  <c r="L279" i="1"/>
  <c r="L281" i="1"/>
  <c r="L282" i="1"/>
  <c r="E119" i="2"/>
  <c r="L283" i="1"/>
  <c r="L284" i="1"/>
  <c r="E121" i="2"/>
  <c r="L285" i="1"/>
  <c r="L286" i="1"/>
  <c r="E123" i="2"/>
  <c r="L287" i="1"/>
  <c r="L288" i="1"/>
  <c r="E125" i="2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/>
  <c r="L612" i="1"/>
  <c r="G663" i="1"/>
  <c r="I663" i="1" s="1"/>
  <c r="I664" i="1" s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E58" i="2"/>
  <c r="H111" i="1"/>
  <c r="I111" i="1"/>
  <c r="I112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/>
  <c r="G162" i="1"/>
  <c r="H147" i="1"/>
  <c r="H162" i="1"/>
  <c r="I147" i="1"/>
  <c r="F85" i="2"/>
  <c r="I162" i="1"/>
  <c r="C10" i="10"/>
  <c r="C12" i="10"/>
  <c r="C21" i="10"/>
  <c r="L250" i="1"/>
  <c r="L332" i="1"/>
  <c r="C23" i="10"/>
  <c r="L254" i="1"/>
  <c r="C25" i="10"/>
  <c r="L268" i="1"/>
  <c r="L269" i="1"/>
  <c r="L349" i="1"/>
  <c r="L350" i="1"/>
  <c r="E143" i="2"/>
  <c r="I665" i="1"/>
  <c r="I670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F552" i="1"/>
  <c r="L526" i="1"/>
  <c r="L527" i="1"/>
  <c r="G550" i="1"/>
  <c r="L528" i="1"/>
  <c r="G551" i="1"/>
  <c r="L531" i="1"/>
  <c r="H549" i="1"/>
  <c r="L532" i="1"/>
  <c r="H550" i="1"/>
  <c r="L533" i="1"/>
  <c r="H551" i="1"/>
  <c r="H552" i="1"/>
  <c r="L536" i="1"/>
  <c r="L537" i="1"/>
  <c r="I550" i="1"/>
  <c r="L538" i="1"/>
  <c r="I551" i="1"/>
  <c r="L541" i="1"/>
  <c r="J549" i="1"/>
  <c r="L542" i="1"/>
  <c r="J550" i="1"/>
  <c r="L543" i="1"/>
  <c r="J551" i="1"/>
  <c r="J552" i="1"/>
  <c r="E132" i="2"/>
  <c r="K270" i="1"/>
  <c r="J270" i="1"/>
  <c r="I270" i="1"/>
  <c r="H270" i="1"/>
  <c r="G270" i="1"/>
  <c r="F270" i="1"/>
  <c r="C132" i="2"/>
  <c r="A1" i="2"/>
  <c r="A2" i="2"/>
  <c r="C8" i="2"/>
  <c r="C18" i="2"/>
  <c r="D8" i="2"/>
  <c r="E8" i="2"/>
  <c r="F8" i="2"/>
  <c r="I439" i="1"/>
  <c r="J9" i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E29" i="2"/>
  <c r="F29" i="2"/>
  <c r="C30" i="2"/>
  <c r="D30" i="2"/>
  <c r="E30" i="2"/>
  <c r="F30" i="2"/>
  <c r="I451" i="1"/>
  <c r="J31" i="1"/>
  <c r="G30" i="2"/>
  <c r="C34" i="2"/>
  <c r="D34" i="2"/>
  <c r="D50" i="2"/>
  <c r="D51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E63" i="2"/>
  <c r="F56" i="2"/>
  <c r="C57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E112" i="2"/>
  <c r="C113" i="2"/>
  <c r="E113" i="2"/>
  <c r="D115" i="2"/>
  <c r="F115" i="2"/>
  <c r="G115" i="2"/>
  <c r="E118" i="2"/>
  <c r="E120" i="2"/>
  <c r="E122" i="2"/>
  <c r="E124" i="2"/>
  <c r="F128" i="2"/>
  <c r="G128" i="2"/>
  <c r="E130" i="2"/>
  <c r="D134" i="2"/>
  <c r="D144" i="2"/>
  <c r="E134" i="2"/>
  <c r="F134" i="2"/>
  <c r="K419" i="1"/>
  <c r="K427" i="1"/>
  <c r="K434" i="1"/>
  <c r="K433" i="1"/>
  <c r="L263" i="1"/>
  <c r="C135" i="2"/>
  <c r="E135" i="2"/>
  <c r="L264" i="1"/>
  <c r="C136" i="2"/>
  <c r="L265" i="1"/>
  <c r="C137" i="2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H503" i="1"/>
  <c r="D164" i="2"/>
  <c r="I503" i="1"/>
  <c r="E164" i="2"/>
  <c r="J503" i="1"/>
  <c r="F164" i="2"/>
  <c r="F19" i="1"/>
  <c r="G617" i="1"/>
  <c r="G19" i="1"/>
  <c r="H19" i="1"/>
  <c r="G619" i="1"/>
  <c r="I19" i="1"/>
  <c r="F32" i="1"/>
  <c r="G32" i="1"/>
  <c r="H32" i="1"/>
  <c r="I32" i="1"/>
  <c r="G52" i="1"/>
  <c r="H618" i="1"/>
  <c r="H51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/>
  <c r="G408" i="1"/>
  <c r="H408" i="1"/>
  <c r="H644" i="1"/>
  <c r="J644" i="1"/>
  <c r="I408" i="1"/>
  <c r="L413" i="1"/>
  <c r="L414" i="1"/>
  <c r="L415" i="1"/>
  <c r="L416" i="1"/>
  <c r="L417" i="1"/>
  <c r="L418" i="1"/>
  <c r="F419" i="1"/>
  <c r="F434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G434" i="1"/>
  <c r="H427" i="1"/>
  <c r="I427" i="1"/>
  <c r="I434" i="1"/>
  <c r="J427" i="1"/>
  <c r="L429" i="1"/>
  <c r="L433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J642" i="1"/>
  <c r="F452" i="1"/>
  <c r="G452" i="1"/>
  <c r="H452" i="1"/>
  <c r="I452" i="1"/>
  <c r="F460" i="1"/>
  <c r="G460" i="1"/>
  <c r="H460" i="1"/>
  <c r="I460" i="1"/>
  <c r="F461" i="1"/>
  <c r="G461" i="1"/>
  <c r="H640" i="1"/>
  <c r="H461" i="1"/>
  <c r="I461" i="1"/>
  <c r="H642" i="1"/>
  <c r="F470" i="1"/>
  <c r="G470" i="1"/>
  <c r="G476" i="1"/>
  <c r="H470" i="1"/>
  <c r="I470" i="1"/>
  <c r="J470" i="1"/>
  <c r="F474" i="1"/>
  <c r="F476" i="1"/>
  <c r="H622" i="1"/>
  <c r="G474" i="1"/>
  <c r="H474" i="1"/>
  <c r="H476" i="1"/>
  <c r="H62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0" i="1"/>
  <c r="I571" i="1"/>
  <c r="J565" i="1"/>
  <c r="K565" i="1"/>
  <c r="K571" i="1"/>
  <c r="L567" i="1"/>
  <c r="L568" i="1"/>
  <c r="L569" i="1"/>
  <c r="L570" i="1"/>
  <c r="F570" i="1"/>
  <c r="G570" i="1"/>
  <c r="H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5" i="1"/>
  <c r="G648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/>
  <c r="H639" i="1"/>
  <c r="G640" i="1"/>
  <c r="J640" i="1"/>
  <c r="G641" i="1"/>
  <c r="H641" i="1"/>
  <c r="G643" i="1"/>
  <c r="J643" i="1"/>
  <c r="G644" i="1"/>
  <c r="G645" i="1"/>
  <c r="J645" i="1"/>
  <c r="H645" i="1"/>
  <c r="H647" i="1"/>
  <c r="G649" i="1"/>
  <c r="J649" i="1"/>
  <c r="G651" i="1"/>
  <c r="G652" i="1"/>
  <c r="H652" i="1"/>
  <c r="G653" i="1"/>
  <c r="H653" i="1"/>
  <c r="G654" i="1"/>
  <c r="H654" i="1"/>
  <c r="J654" i="1"/>
  <c r="H655" i="1"/>
  <c r="F192" i="1"/>
  <c r="L328" i="1"/>
  <c r="C70" i="2"/>
  <c r="D62" i="2"/>
  <c r="D63" i="2"/>
  <c r="D15" i="13"/>
  <c r="C15" i="13"/>
  <c r="D18" i="2"/>
  <c r="F78" i="2"/>
  <c r="F81" i="2"/>
  <c r="D31" i="2"/>
  <c r="C78" i="2"/>
  <c r="C81" i="2"/>
  <c r="F18" i="2"/>
  <c r="G156" i="2"/>
  <c r="E103" i="2"/>
  <c r="E62" i="2"/>
  <c r="E31" i="2"/>
  <c r="G62" i="2"/>
  <c r="D29" i="13"/>
  <c r="C29" i="13"/>
  <c r="D14" i="13"/>
  <c r="C14" i="13"/>
  <c r="E78" i="2"/>
  <c r="E81" i="2"/>
  <c r="J257" i="1"/>
  <c r="H112" i="1"/>
  <c r="F112" i="1"/>
  <c r="J641" i="1"/>
  <c r="J571" i="1"/>
  <c r="D81" i="2"/>
  <c r="I169" i="1"/>
  <c r="H169" i="1"/>
  <c r="J476" i="1"/>
  <c r="H626" i="1"/>
  <c r="I476" i="1"/>
  <c r="H625" i="1"/>
  <c r="H623" i="1"/>
  <c r="G338" i="1"/>
  <c r="G352" i="1"/>
  <c r="F169" i="1"/>
  <c r="C39" i="10"/>
  <c r="J140" i="1"/>
  <c r="F571" i="1"/>
  <c r="H257" i="1"/>
  <c r="H271" i="1"/>
  <c r="G22" i="2"/>
  <c r="K598" i="1"/>
  <c r="G647" i="1"/>
  <c r="J647" i="1"/>
  <c r="C29" i="10"/>
  <c r="H140" i="1"/>
  <c r="H25" i="13"/>
  <c r="J651" i="1"/>
  <c r="L560" i="1"/>
  <c r="H338" i="1"/>
  <c r="H352" i="1"/>
  <c r="F338" i="1"/>
  <c r="F352" i="1"/>
  <c r="G192" i="1"/>
  <c r="H192" i="1"/>
  <c r="D5" i="13"/>
  <c r="C5" i="13"/>
  <c r="J636" i="1"/>
  <c r="K551" i="1"/>
  <c r="F62" i="2"/>
  <c r="F63" i="2"/>
  <c r="G163" i="2"/>
  <c r="G162" i="2"/>
  <c r="G159" i="2"/>
  <c r="G103" i="2"/>
  <c r="C103" i="2"/>
  <c r="C50" i="2"/>
  <c r="F31" i="2"/>
  <c r="C31" i="2"/>
  <c r="I338" i="1"/>
  <c r="I352" i="1"/>
  <c r="L407" i="1"/>
  <c r="C140" i="2"/>
  <c r="E91" i="2"/>
  <c r="J653" i="1"/>
  <c r="G134" i="2"/>
  <c r="G144" i="2"/>
  <c r="G145" i="2"/>
  <c r="G169" i="1"/>
  <c r="G140" i="1"/>
  <c r="G193" i="1"/>
  <c r="G628" i="1"/>
  <c r="J628" i="1"/>
  <c r="F140" i="1"/>
  <c r="F193" i="1"/>
  <c r="G627" i="1"/>
  <c r="J627" i="1"/>
  <c r="J618" i="1"/>
  <c r="G42" i="2"/>
  <c r="G16" i="2"/>
  <c r="H434" i="1"/>
  <c r="I140" i="1"/>
  <c r="J652" i="1"/>
  <c r="G571" i="1"/>
  <c r="L565" i="1"/>
  <c r="L571" i="1"/>
  <c r="A22" i="12"/>
  <c r="A13" i="12"/>
  <c r="H52" i="1"/>
  <c r="H619" i="1"/>
  <c r="J619" i="1"/>
  <c r="J624" i="1"/>
  <c r="E51" i="2"/>
  <c r="E18" i="2"/>
  <c r="E128" i="2"/>
  <c r="J648" i="1"/>
  <c r="C51" i="2"/>
  <c r="C25" i="13"/>
  <c r="H33" i="13"/>
  <c r="H193" i="1"/>
  <c r="G629" i="1"/>
  <c r="J629" i="1"/>
  <c r="J620" i="1"/>
  <c r="L427" i="1"/>
  <c r="J434" i="1"/>
  <c r="L419" i="1"/>
  <c r="L434" i="1"/>
  <c r="G638" i="1"/>
  <c r="J638" i="1"/>
  <c r="C62" i="2"/>
  <c r="E104" i="2"/>
  <c r="C63" i="2"/>
  <c r="C104" i="2"/>
  <c r="G36" i="2"/>
  <c r="G50" i="2"/>
  <c r="J51" i="1"/>
  <c r="F50" i="2"/>
  <c r="F51" i="2"/>
  <c r="G8" i="2"/>
  <c r="G18" i="2"/>
  <c r="J19" i="1"/>
  <c r="G621" i="1"/>
  <c r="I549" i="1"/>
  <c r="I552" i="1"/>
  <c r="L539" i="1"/>
  <c r="G549" i="1"/>
  <c r="L529" i="1"/>
  <c r="C143" i="2"/>
  <c r="C26" i="10"/>
  <c r="G56" i="2"/>
  <c r="G63" i="2"/>
  <c r="G104" i="2"/>
  <c r="J112" i="1"/>
  <c r="J193" i="1"/>
  <c r="L401" i="1"/>
  <c r="C139" i="2"/>
  <c r="L393" i="1"/>
  <c r="A31" i="12"/>
  <c r="A40" i="12"/>
  <c r="C27" i="10"/>
  <c r="G635" i="1"/>
  <c r="J635" i="1"/>
  <c r="C130" i="2"/>
  <c r="F22" i="13"/>
  <c r="C22" i="13"/>
  <c r="E131" i="2"/>
  <c r="E144" i="2"/>
  <c r="L351" i="1"/>
  <c r="C131" i="2"/>
  <c r="C32" i="10"/>
  <c r="L309" i="1"/>
  <c r="E110" i="2"/>
  <c r="L290" i="1"/>
  <c r="G31" i="13"/>
  <c r="G33" i="13"/>
  <c r="G661" i="1"/>
  <c r="D127" i="2"/>
  <c r="D128" i="2"/>
  <c r="D145" i="2"/>
  <c r="H661" i="1"/>
  <c r="C114" i="2"/>
  <c r="D17" i="13"/>
  <c r="C17" i="13"/>
  <c r="C124" i="2"/>
  <c r="G662" i="1"/>
  <c r="I662" i="1"/>
  <c r="G650" i="1"/>
  <c r="J650" i="1"/>
  <c r="C20" i="10"/>
  <c r="C123" i="2"/>
  <c r="C18" i="10"/>
  <c r="C121" i="2"/>
  <c r="C16" i="10"/>
  <c r="C119" i="2"/>
  <c r="C118" i="2"/>
  <c r="C15" i="10"/>
  <c r="D6" i="13"/>
  <c r="L247" i="1"/>
  <c r="H660" i="1"/>
  <c r="H664" i="1"/>
  <c r="H667" i="1" s="1"/>
  <c r="L229" i="1"/>
  <c r="C13" i="10"/>
  <c r="C112" i="2"/>
  <c r="C11" i="10"/>
  <c r="L211" i="1"/>
  <c r="C110" i="2"/>
  <c r="C115" i="2"/>
  <c r="C125" i="2"/>
  <c r="C122" i="2"/>
  <c r="C19" i="10"/>
  <c r="C120" i="2"/>
  <c r="E8" i="13"/>
  <c r="F52" i="1"/>
  <c r="H617" i="1"/>
  <c r="J617" i="1"/>
  <c r="G622" i="1"/>
  <c r="J622" i="1"/>
  <c r="C38" i="10"/>
  <c r="F31" i="13"/>
  <c r="F33" i="13"/>
  <c r="C24" i="10"/>
  <c r="E16" i="13"/>
  <c r="C16" i="13"/>
  <c r="C35" i="10"/>
  <c r="K550" i="1"/>
  <c r="J271" i="1"/>
  <c r="H648" i="1"/>
  <c r="E13" i="13"/>
  <c r="C13" i="13"/>
  <c r="D7" i="13"/>
  <c r="C7" i="13"/>
  <c r="D12" i="13"/>
  <c r="C12" i="13"/>
  <c r="G625" i="1"/>
  <c r="J625" i="1"/>
  <c r="J623" i="1"/>
  <c r="H571" i="1"/>
  <c r="L544" i="1"/>
  <c r="K545" i="1"/>
  <c r="I545" i="1"/>
  <c r="G545" i="1"/>
  <c r="L524" i="1"/>
  <c r="L545" i="1"/>
  <c r="J545" i="1"/>
  <c r="H545" i="1"/>
  <c r="F545" i="1"/>
  <c r="L337" i="1"/>
  <c r="L256" i="1"/>
  <c r="K257" i="1"/>
  <c r="K271" i="1"/>
  <c r="I257" i="1"/>
  <c r="I271" i="1"/>
  <c r="G257" i="1"/>
  <c r="G271" i="1"/>
  <c r="I192" i="1"/>
  <c r="I193" i="1"/>
  <c r="G630" i="1"/>
  <c r="J630" i="1"/>
  <c r="C164" i="2"/>
  <c r="G164" i="2"/>
  <c r="K503" i="1"/>
  <c r="G161" i="2"/>
  <c r="G160" i="2"/>
  <c r="G158" i="2"/>
  <c r="G157" i="2"/>
  <c r="E115" i="2"/>
  <c r="F103" i="2"/>
  <c r="D103" i="2"/>
  <c r="D91" i="2"/>
  <c r="F91" i="2"/>
  <c r="F104" i="2"/>
  <c r="C91" i="2"/>
  <c r="G21" i="2"/>
  <c r="G31" i="2"/>
  <c r="J32" i="1"/>
  <c r="F661" i="1"/>
  <c r="I661" i="1"/>
  <c r="C17" i="10"/>
  <c r="F130" i="2"/>
  <c r="F144" i="2" s="1"/>
  <c r="F145" i="2" s="1"/>
  <c r="E145" i="2"/>
  <c r="C28" i="10"/>
  <c r="D13" i="10"/>
  <c r="D16" i="10"/>
  <c r="D20" i="10"/>
  <c r="L338" i="1"/>
  <c r="L352" i="1"/>
  <c r="G633" i="1"/>
  <c r="J633" i="1"/>
  <c r="D31" i="13"/>
  <c r="C31" i="13"/>
  <c r="D27" i="10"/>
  <c r="G552" i="1"/>
  <c r="K549" i="1"/>
  <c r="K552" i="1"/>
  <c r="G626" i="1"/>
  <c r="J52" i="1"/>
  <c r="H621" i="1"/>
  <c r="D104" i="2"/>
  <c r="C36" i="10"/>
  <c r="C41" i="10"/>
  <c r="D24" i="10"/>
  <c r="E33" i="13"/>
  <c r="D35" i="13"/>
  <c r="C8" i="13"/>
  <c r="D19" i="10"/>
  <c r="F660" i="1"/>
  <c r="L257" i="1"/>
  <c r="L271" i="1"/>
  <c r="G632" i="1"/>
  <c r="J632" i="1"/>
  <c r="G660" i="1"/>
  <c r="G664" i="1"/>
  <c r="G672" i="1" s="1"/>
  <c r="C5" i="10" s="1"/>
  <c r="C6" i="13"/>
  <c r="C128" i="2"/>
  <c r="C138" i="2"/>
  <c r="C141" i="2"/>
  <c r="L408" i="1"/>
  <c r="G646" i="1"/>
  <c r="G631" i="1"/>
  <c r="J631" i="1"/>
  <c r="J621" i="1"/>
  <c r="G51" i="2"/>
  <c r="G637" i="1"/>
  <c r="J637" i="1"/>
  <c r="H646" i="1"/>
  <c r="D37" i="10"/>
  <c r="D40" i="10"/>
  <c r="D39" i="10"/>
  <c r="D22" i="10"/>
  <c r="D21" i="10"/>
  <c r="C30" i="10"/>
  <c r="D10" i="10"/>
  <c r="D12" i="10"/>
  <c r="D23" i="10"/>
  <c r="D25" i="10"/>
  <c r="D26" i="10"/>
  <c r="J646" i="1"/>
  <c r="D33" i="13"/>
  <c r="D36" i="13"/>
  <c r="F664" i="1"/>
  <c r="I660" i="1"/>
  <c r="D38" i="10"/>
  <c r="D35" i="10"/>
  <c r="D36" i="10"/>
  <c r="D17" i="10"/>
  <c r="J626" i="1"/>
  <c r="H656" i="1"/>
  <c r="C144" i="2"/>
  <c r="C145" i="2"/>
  <c r="D18" i="10"/>
  <c r="D15" i="10"/>
  <c r="D11" i="10"/>
  <c r="F672" i="1"/>
  <c r="C4" i="10" s="1"/>
  <c r="F667" i="1"/>
  <c r="D41" i="10"/>
  <c r="D28" i="10"/>
  <c r="I667" i="1" l="1"/>
  <c r="I672" i="1"/>
  <c r="C7" i="10" s="1"/>
  <c r="H672" i="1"/>
  <c r="C6" i="10" s="1"/>
  <c r="G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<sst xmlns="http://schemas.openxmlformats.org/spreadsheetml/2006/main" count="3958" uniqueCount="915">
  <si>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</si>
  <si>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</si>
  <si>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</si>
  <si>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</si>
  <si>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</si>
  <si>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</si>
  <si>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</si>
  <si>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</si>
  <si>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</si>
  <si>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</si>
  <si>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</si>
  <si>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</si>
  <si>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</si>
  <si>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</si>
  <si>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</si>
  <si>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</si>
  <si>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</si>
  <si>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</si>
  <si>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</si>
  <si>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</si>
  <si>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</si>
  <si>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</si>
  <si>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</si>
  <si>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</si>
  <si>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</si>
  <si>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</si>
  <si>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</si>
  <si>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</si>
  <si>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</si>
  <si>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</si>
  <si>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</si>
  <si>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</si>
  <si>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</si>
  <si>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</si>
  <si>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</si>
  <si>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</si>
  <si>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</si>
  <si>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</si>
  <si>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</si>
  <si>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</si>
  <si>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</si>
  <si>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</si>
  <si>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</si>
  <si>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</si>
  <si>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</si>
  <si>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</si>
  <si>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</si>
  <si>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</si>
  <si>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</si>
  <si>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</si>
  <si>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</si>
  <si>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</si>
  <si>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</si>
  <si>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</si>
  <si>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</si>
  <si>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</si>
  <si>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</si>
  <si>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</si>
  <si>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</si>
  <si>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</si>
  <si>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</si>
  <si>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</si>
  <si>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</si>
  <si>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</si>
  <si>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</si>
  <si>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</si>
  <si>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</si>
  <si>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</si>
  <si>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</si>
  <si>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</si>
  <si>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</si>
  <si>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</si>
  <si>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</si>
  <si>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</si>
  <si>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</si>
  <si>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</si>
  <si>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</si>
  <si>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</si>
  <si>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</si>
  <si>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</si>
  <si>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</si>
  <si>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</si>
  <si>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</si>
  <si>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</si>
  <si>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</si>
  <si>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</si>
  <si>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</si>
  <si>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</si>
  <si>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</si>
  <si>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</si>
  <si>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</si>
  <si>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</si>
  <si>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</si>
  <si>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</si>
  <si>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</si>
  <si>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</si>
  <si>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</si>
  <si>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</si>
  <si>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</si>
  <si>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</si>
  <si>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</si>
  <si>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</si>
  <si>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</si>
  <si>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</si>
  <si>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</si>
  <si>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</si>
  <si>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</si>
  <si>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</si>
  <si>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</si>
  <si>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</si>
  <si>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</si>
  <si>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</si>
  <si>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</si>
  <si>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</si>
  <si>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</si>
  <si>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</si>
  <si>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</si>
  <si>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</si>
  <si>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</si>
  <si>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</si>
  <si>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</si>
  <si>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</si>
  <si>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</si>
  <si>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</si>
  <si>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</si>
  <si>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</si>
  <si>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</si>
  <si>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</si>
  <si>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</si>
  <si>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</si>
  <si>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</si>
  <si>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</si>
  <si>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</si>
  <si>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</si>
  <si>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</si>
  <si>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</si>
  <si>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</si>
  <si>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</si>
  <si>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</si>
  <si>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</si>
  <si>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</si>
  <si>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</si>
  <si>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</si>
  <si>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</si>
  <si>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</si>
  <si>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</si>
  <si>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</si>
  <si>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</si>
  <si>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</si>
  <si>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</si>
  <si>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</si>
  <si>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</si>
  <si>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</si>
  <si>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</si>
  <si>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</si>
  <si>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</si>
  <si>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</si>
  <si>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</si>
  <si>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</si>
  <si>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</si>
  <si>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</si>
  <si>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</si>
  <si>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</si>
  <si>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</si>
  <si>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</si>
  <si>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</si>
  <si>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</si>
  <si>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</si>
  <si>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</si>
  <si>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</si>
  <si>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</si>
  <si>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</si>
  <si>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</si>
  <si>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</si>
  <si>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</si>
  <si>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</si>
  <si>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</si>
  <si>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</si>
  <si>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</si>
  <si>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</si>
  <si>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</si>
  <si>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</si>
  <si>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</si>
  <si>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</si>
  <si>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</si>
  <si>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</si>
  <si>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</si>
  <si>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</si>
  <si>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</si>
  <si>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</si>
  <si>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</si>
  <si>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</si>
  <si>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</si>
  <si>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</si>
  <si>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</si>
  <si>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</si>
  <si>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</si>
  <si>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</si>
  <si>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</si>
  <si>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</si>
  <si>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</si>
  <si>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</si>
  <si>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</si>
  <si>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</si>
  <si>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</si>
  <si>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</si>
  <si>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</si>
  <si>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</si>
  <si>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</si>
  <si>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</si>
  <si>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</si>
  <si>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</si>
  <si>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</si>
  <si>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</si>
  <si>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</si>
  <si>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</si>
  <si>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</si>
  <si>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</si>
  <si>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</si>
  <si>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</si>
  <si>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</si>
  <si>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</si>
  <si>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</si>
  <si>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</si>
  <si>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</si>
  <si>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</si>
  <si>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</si>
  <si>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</si>
  <si>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</si>
  <si>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</si>
  <si>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</si>
  <si>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</si>
  <si>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</si>
  <si>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</si>
  <si>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</si>
  <si>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</si>
  <si>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</si>
  <si>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</si>
  <si>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</si>
  <si>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</si>
  <si>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</si>
  <si>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</si>
  <si>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</si>
  <si>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</si>
  <si>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</si>
  <si>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</si>
  <si>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</si>
  <si>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</si>
  <si>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</si>
  <si>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</si>
  <si>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</si>
  <si>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</si>
  <si>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</si>
  <si>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</si>
  <si>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</si>
  <si>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</si>
  <si>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</si>
  <si>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</si>
  <si>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</si>
  <si>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</si>
  <si>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</si>
  <si>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</si>
  <si>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</si>
  <si>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</si>
  <si>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</si>
  <si>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</si>
  <si>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</si>
  <si>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</si>
  <si>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</si>
  <si>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</si>
  <si>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</si>
  <si>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</si>
  <si>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</si>
  <si>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</si>
  <si>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</si>
  <si>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</si>
  <si>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</si>
  <si>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</si>
  <si>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</si>
  <si>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</si>
  <si>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</si>
  <si>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</si>
  <si>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</si>
  <si>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</si>
  <si>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</si>
  <si>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</si>
  <si>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</si>
  <si>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</si>
  <si>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</si>
  <si>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</si>
  <si>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</si>
  <si>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</si>
  <si>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</si>
  <si>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</si>
  <si>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</si>
  <si>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</si>
  <si>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</si>
  <si>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</si>
  <si>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</si>
  <si>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</si>
  <si>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</si>
  <si>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</si>
  <si>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</si>
  <si>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</si>
  <si>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</si>
  <si>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</si>
  <si>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</si>
  <si>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</si>
  <si>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</si>
  <si>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</si>
  <si>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</si>
  <si>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</si>
  <si>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</si>
  <si>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</si>
  <si>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</si>
  <si>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</si>
  <si>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</si>
  <si>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</si>
  <si>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</si>
  <si>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</si>
  <si>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</si>
  <si>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</si>
  <si>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</si>
  <si>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</si>
  <si>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</si>
  <si>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</si>
  <si>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</si>
  <si>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</si>
  <si>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</si>
  <si>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</si>
  <si>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</si>
  <si>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</si>
  <si>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</si>
  <si>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</si>
  <si>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</si>
  <si>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</si>
  <si>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</si>
  <si>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</si>
  <si>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</si>
  <si>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</si>
  <si>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</si>
  <si>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</si>
  <si>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</si>
  <si>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</si>
  <si>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</si>
  <si>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</si>
  <si>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</si>
  <si>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</si>
  <si>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</si>
  <si>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</si>
  <si>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</si>
  <si>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</si>
  <si>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</si>
  <si>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</si>
  <si>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</si>
  <si>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</si>
  <si>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</si>
  <si>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</si>
  <si>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</si>
  <si>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</si>
  <si>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</si>
  <si>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</si>
  <si>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</si>
  <si>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</si>
  <si>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</si>
  <si>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</si>
  <si>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</si>
  <si>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</si>
  <si>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</si>
  <si>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</si>
  <si>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</si>
  <si>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</si>
  <si>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</si>
  <si>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</si>
  <si>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</si>
  <si>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</si>
  <si>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</si>
  <si>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</si>
  <si>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</si>
  <si>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</si>
  <si>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</si>
  <si>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</si>
  <si>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</si>
  <si>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</si>
  <si>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</si>
  <si>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</si>
  <si>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</si>
  <si>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</si>
  <si>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</si>
  <si>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</si>
  <si>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</si>
  <si>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</si>
  <si>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</si>
  <si>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</si>
  <si>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</si>
  <si>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</si>
  <si>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</si>
  <si>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</si>
  <si>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</si>
  <si>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</si>
  <si>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</si>
  <si>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</si>
  <si>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</si>
  <si>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</si>
  <si>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</si>
  <si>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</si>
  <si>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</si>
  <si>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</si>
  <si>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</si>
  <si>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</si>
  <si>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</si>
  <si>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</si>
  <si>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</si>
  <si>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</si>
  <si>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</si>
  <si>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</si>
  <si>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</si>
  <si>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</si>
  <si>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</si>
  <si>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</si>
  <si>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</si>
  <si>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</si>
  <si>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</si>
  <si>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</si>
  <si>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</si>
  <si>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</si>
  <si>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</si>
  <si>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</si>
  <si>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</si>
  <si>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</si>
  <si>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</si>
  <si>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</si>
  <si>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</si>
  <si>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</si>
  <si>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</si>
  <si>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</si>
  <si>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</si>
  <si>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</si>
  <si>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</si>
  <si>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</si>
  <si>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</si>
  <si>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</si>
  <si>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</si>
  <si>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</si>
  <si>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</si>
  <si>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</si>
  <si>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</si>
  <si>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</si>
  <si>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</si>
  <si>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</si>
  <si>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</si>
  <si>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</si>
  <si>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</si>
  <si>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</si>
  <si>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</si>
  <si>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</si>
  <si>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</si>
  <si>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</si>
  <si>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</si>
  <si>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</si>
  <si>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</si>
  <si>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</si>
  <si>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</si>
  <si>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</si>
  <si>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</si>
  <si>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</si>
  <si>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</si>
  <si>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</si>
  <si>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</si>
  <si>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</si>
  <si>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</si>
  <si>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</si>
  <si>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</si>
  <si>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</si>
  <si>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</si>
  <si>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</si>
  <si>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</si>
  <si>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</si>
  <si>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</si>
  <si>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</si>
  <si>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</si>
  <si>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</si>
  <si>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</si>
  <si>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</si>
  <si>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</si>
  <si>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</si>
  <si>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</si>
  <si>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</si>
  <si>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</si>
  <si>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</si>
  <si>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</si>
  <si>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</si>
  <si>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</si>
  <si>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</si>
  <si>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</si>
  <si>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</si>
  <si>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</si>
  <si>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</si>
  <si>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</si>
  <si>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</si>
  <si>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</si>
  <si>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</si>
  <si>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</si>
  <si>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</si>
  <si>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</si>
  <si>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</si>
  <si>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</si>
  <si>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</si>
  <si>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</si>
  <si>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</si>
  <si>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</si>
  <si>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</si>
  <si>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</si>
  <si>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</si>
  <si>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</si>
  <si>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</si>
  <si>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</si>
  <si>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</si>
  <si>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</si>
  <si>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</si>
  <si>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</si>
  <si>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</si>
  <si>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</si>
  <si>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</si>
  <si>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</si>
  <si>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</si>
  <si>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</si>
  <si>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</si>
  <si>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</si>
  <si>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</si>
  <si>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</si>
  <si>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</si>
  <si>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</si>
  <si>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</si>
  <si>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</si>
  <si>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</si>
  <si>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</si>
  <si>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</si>
  <si>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</si>
  <si>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</si>
  <si>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</si>
  <si>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</si>
  <si>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</si>
  <si>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</si>
  <si>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</si>
  <si>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</si>
  <si>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</si>
  <si>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</si>
  <si>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</si>
  <si>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</si>
  <si>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</si>
  <si>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</si>
  <si>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</si>
  <si>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</si>
  <si>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</si>
  <si>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</si>
  <si>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</si>
  <si>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</si>
  <si>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</si>
  <si>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</si>
  <si>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</si>
  <si>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</si>
  <si>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</si>
  <si>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</si>
  <si>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</si>
  <si>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</si>
  <si>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</si>
  <si>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</si>
  <si>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</si>
  <si>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</si>
  <si>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</si>
  <si>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</si>
  <si>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</si>
  <si>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</si>
  <si>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</si>
  <si>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</si>
  <si>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</si>
  <si>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</si>
  <si>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</si>
  <si>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</si>
  <si>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</si>
  <si>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</si>
  <si>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</si>
  <si>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</si>
  <si>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</si>
  <si>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</si>
  <si>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</si>
  <si>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</si>
  <si>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</si>
  <si>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</si>
  <si>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</si>
  <si>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</si>
  <si>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</si>
  <si>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</si>
  <si>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</si>
  <si>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</si>
  <si>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</si>
  <si>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</si>
  <si>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</si>
  <si>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</si>
  <si>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</si>
  <si>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</si>
  <si>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</si>
  <si>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</si>
  <si>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</si>
  <si>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</si>
  <si>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</si>
  <si>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</si>
  <si>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</si>
  <si>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</si>
  <si>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</si>
  <si>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</si>
  <si>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</si>
  <si>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</si>
  <si>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</si>
  <si>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</si>
  <si>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</si>
  <si>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</si>
  <si>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</si>
  <si>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</si>
  <si>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</si>
  <si>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</si>
  <si>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</si>
  <si>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</si>
  <si>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</si>
  <si>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</si>
  <si>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</si>
  <si>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</si>
  <si>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</si>
  <si>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</si>
  <si>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</si>
  <si>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</si>
  <si>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</si>
  <si>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</si>
  <si>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</si>
  <si>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</si>
  <si>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</si>
  <si>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</si>
  <si>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</si>
  <si>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</si>
  <si>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</si>
  <si>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</si>
  <si>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</si>
  <si>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</si>
  <si>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</si>
  <si>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</si>
  <si>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</si>
  <si>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</si>
  <si>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</si>
  <si>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</si>
  <si>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</si>
  <si>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</si>
  <si>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</si>
  <si>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</si>
  <si>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</si>
  <si>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</si>
  <si>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</si>
  <si>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</si>
  <si>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</si>
  <si>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</si>
  <si>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</si>
  <si>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</si>
  <si>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</si>
  <si>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</si>
  <si>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</si>
  <si>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</si>
  <si>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</si>
  <si>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</si>
  <si>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</si>
  <si>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</si>
  <si>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</si>
  <si>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</si>
  <si>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</si>
  <si>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</si>
  <si>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</si>
  <si>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</si>
  <si>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</si>
  <si>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</si>
  <si>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</si>
  <si>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</si>
  <si>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</si>
  <si>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</si>
  <si>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</si>
  <si>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</si>
  <si>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</si>
  <si>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</si>
  <si>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</si>
  <si>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</si>
  <si>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</si>
  <si>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</si>
  <si>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</si>
  <si>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</si>
  <si>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</si>
  <si>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</si>
  <si>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</si>
  <si>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</si>
  <si>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</si>
  <si>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</si>
  <si>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</si>
  <si>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</si>
  <si>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</si>
  <si>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</si>
  <si>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</si>
  <si>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</si>
  <si>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</si>
  <si>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</si>
  <si>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</si>
  <si>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</si>
  <si>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</si>
  <si>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</si>
  <si>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</si>
  <si>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</si>
  <si>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</si>
  <si>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</si>
  <si>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</si>
  <si>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</si>
  <si>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</si>
  <si>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</si>
  <si>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</si>
  <si>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</si>
  <si>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</si>
  <si>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</si>
  <si>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</si>
  <si>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</si>
  <si>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</si>
  <si>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</si>
  <si>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</si>
  <si>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</si>
  <si>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</si>
  <si>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</si>
  <si>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</si>
  <si>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</si>
  <si>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</si>
  <si>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</si>
  <si>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</si>
  <si>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</si>
  <si>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</si>
  <si>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</si>
  <si>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</si>
  <si>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</si>
  <si>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</si>
  <si>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</si>
  <si>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</si>
  <si>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</si>
  <si>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</si>
  <si>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</si>
  <si>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</si>
  <si>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</si>
  <si>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</si>
  <si>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</si>
  <si>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</si>
  <si>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</si>
  <si>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</si>
  <si>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</si>
  <si>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</si>
  <si>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</si>
  <si>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</si>
  <si>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</si>
  <si>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</si>
  <si>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</si>
  <si>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</si>
  <si>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</si>
  <si>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</si>
  <si>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</si>
  <si>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</si>
  <si>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</si>
  <si>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</si>
  <si>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</si>
  <si>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</si>
  <si>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</si>
  <si>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</si>
  <si>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</si>
  <si>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</si>
  <si>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</si>
  <si>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</si>
  <si>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</si>
  <si>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</si>
  <si>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</si>
  <si>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</si>
  <si>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</si>
  <si>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</si>
  <si>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</si>
  <si>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</si>
  <si>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</si>
  <si>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</si>
  <si>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</si>
  <si>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</si>
  <si>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</si>
  <si>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</si>
  <si>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</si>
  <si>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</si>
  <si>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</si>
  <si>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</si>
  <si>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</si>
  <si>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</si>
  <si>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</si>
  <si>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</si>
  <si>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</si>
  <si>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</si>
  <si>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</si>
  <si>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</si>
  <si>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</si>
  <si>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</si>
  <si>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</si>
  <si>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</si>
  <si>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</si>
  <si>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</si>
  <si>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</si>
  <si>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</si>
  <si>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</si>
  <si>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</si>
  <si>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</si>
  <si>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</si>
  <si>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</si>
  <si>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</si>
  <si>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</si>
  <si>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</si>
  <si>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</si>
  <si>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</si>
  <si>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</si>
  <si>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</si>
  <si>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</si>
  <si>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</si>
  <si>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</si>
  <si>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</si>
  <si>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</si>
  <si>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</si>
  <si>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</si>
  <si>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</si>
  <si>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</si>
  <si>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</si>
  <si>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</si>
  <si>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</si>
  <si>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</si>
  <si>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</si>
  <si>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</si>
  <si>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</si>
  <si>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</si>
  <si>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</si>
  <si>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</si>
  <si>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</si>
  <si>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</si>
  <si>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</si>
  <si>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</si>
  <si>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</si>
  <si>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</si>
  <si>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</si>
  <si>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</si>
  <si>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</si>
  <si>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</si>
  <si>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</si>
  <si>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</si>
  <si>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</si>
  <si>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</si>
  <si>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</si>
  <si>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</si>
  <si>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</si>
  <si>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</si>
  <si>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</si>
  <si>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</si>
  <si>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</si>
  <si>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</si>
  <si>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</si>
  <si>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</si>
  <si>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</si>
  <si>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</si>
  <si>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</si>
  <si>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</si>
  <si>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</si>
  <si>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</si>
  <si>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</si>
  <si>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</si>
  <si>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</si>
  <si>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</si>
  <si>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</si>
  <si>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</si>
  <si>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</si>
  <si>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</si>
  <si>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</si>
  <si>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</si>
  <si>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</si>
  <si>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</si>
  <si>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</si>
  <si>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</si>
  <si>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</si>
  <si>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</si>
  <si>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</si>
  <si>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</si>
  <si>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</si>
  <si>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</si>
  <si>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</si>
  <si>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</si>
  <si>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</si>
  <si>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</si>
  <si>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</si>
  <si>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</si>
  <si>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</si>
  <si>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</si>
  <si>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</si>
  <si>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</si>
  <si>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</si>
  <si>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</si>
  <si>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</si>
  <si>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</si>
  <si>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</si>
  <si>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</si>
  <si>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</si>
  <si>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</si>
  <si>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</si>
  <si>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</si>
  <si>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</si>
  <si>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</si>
  <si>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Scholarship Trust Funds</t>
  </si>
  <si>
    <t>t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</si>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</sst>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449</v>
      </c>
      <c r="C2" s="21">
        <v>449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1437.4</v>
      </c>
      <c r="H9" s="18"/>
      <c r="I9" s="18"/>
      <c r="J9" s="67">
        <f>SUM(I439)</f>
        <v>78982.05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17469.669999999998</v>
      </c>
      <c r="H12" s="18">
        <v>589523.27</v>
      </c>
      <c r="I12" s="18"/>
      <c r="J12" s="67">
        <f>SUM(I441)</f>
        <v>5239979.1900000004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44473.23</v>
      </c>
      <c r="H13" s="18">
        <v>795112.32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28610.1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4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91990.399999999994</v>
      </c>
      <c r="H19" s="41">
        <f>SUM(H9:H18)</f>
        <v>1384635.5899999999</v>
      </c>
      <c r="I19" s="41">
        <f>SUM(I9:I18)</f>
        <v>0</v>
      </c>
      <c r="J19" s="41">
        <f>SUM(J9:J18)</f>
        <v>5318961.24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790395.41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4716.91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38699.379999999997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53688.6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92387.98</v>
      </c>
      <c r="H32" s="41">
        <f>SUM(H22:H31)</f>
        <v>795112.32000000007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5193725.87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125235.37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-397.58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589523.27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-397.58</v>
      </c>
      <c r="H51" s="41">
        <f>SUM(H35:H50)</f>
        <v>589523.27</v>
      </c>
      <c r="I51" s="41">
        <f>SUM(I35:I50)</f>
        <v>0</v>
      </c>
      <c r="J51" s="41">
        <f>SUM(J35:J50)</f>
        <v>5318961.24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91990.399999999994</v>
      </c>
      <c r="H52" s="41">
        <f>H51+H32</f>
        <v>1384635.59</v>
      </c>
      <c r="I52" s="41">
        <f>I51+I32</f>
        <v>0</v>
      </c>
      <c r="J52" s="41">
        <f>J51+J32</f>
        <v>5318961.24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24594460.629999999</v>
      </c>
      <c r="G57" s="18"/>
      <c r="H57" s="18">
        <v>220958.38</v>
      </c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24594460.629999999</v>
      </c>
      <c r="G60" s="41">
        <f>SUM(G57:G59)</f>
        <v>0</v>
      </c>
      <c r="H60" s="41">
        <f>SUM(H57:H59)</f>
        <v>220958.38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46734.7</v>
      </c>
      <c r="G63" s="24" t="s">
        <v>289</v>
      </c>
      <c r="H63" s="18">
        <v>68510.399999999994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6205661.46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v>740611.76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>
        <v>40955.870000000003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6252396.1600000001</v>
      </c>
      <c r="G79" s="45" t="s">
        <v>289</v>
      </c>
      <c r="H79" s="41">
        <f>SUM(H63:H78)</f>
        <v>850078.03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114500.29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461004.16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15773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13049.95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37826.65</v>
      </c>
      <c r="I102" s="18"/>
      <c r="J102" s="18">
        <v>118127.05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30</v>
      </c>
      <c r="G110" s="18"/>
      <c r="H110" s="18">
        <v>119014.28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13079.95</v>
      </c>
      <c r="G111" s="41">
        <f>SUM(G96:G110)</f>
        <v>461004.16</v>
      </c>
      <c r="H111" s="41">
        <f>SUM(H96:H110)</f>
        <v>172613.93</v>
      </c>
      <c r="I111" s="41">
        <f>SUM(I96:I110)</f>
        <v>0</v>
      </c>
      <c r="J111" s="41">
        <f>SUM(J96:J110)</f>
        <v>232627.34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30859936.739999998</v>
      </c>
      <c r="G112" s="41">
        <f>G60+G111</f>
        <v>461004.16</v>
      </c>
      <c r="H112" s="41">
        <f>H60+H79+H94+H111</f>
        <v>1243650.3400000001</v>
      </c>
      <c r="I112" s="41">
        <f>I60+I111</f>
        <v>0</v>
      </c>
      <c r="J112" s="41">
        <f>J60+J111</f>
        <v>232627.34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10484350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10484350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1816776.15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220958.38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8167.32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2037734.5299999998</v>
      </c>
      <c r="G136" s="41">
        <f>SUM(G123:G135)</f>
        <v>8167.32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12522084.529999999</v>
      </c>
      <c r="G140" s="41">
        <f>G121+SUM(G136:G137)</f>
        <v>8167.32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27072.39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27072.39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538272.57999999996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339364.19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54648.69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300479.24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541773.44999999995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>
        <v>574411.26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27509.78</v>
      </c>
      <c r="H161" s="18">
        <v>80000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327989.02</v>
      </c>
      <c r="H162" s="41">
        <f>SUM(H150:H161)</f>
        <v>2128470.17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327989.02</v>
      </c>
      <c r="H169" s="41">
        <f>H147+H162+SUM(H163:H168)</f>
        <v>2155542.56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104812.6</v>
      </c>
      <c r="H179" s="18">
        <v>777800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104812.6</v>
      </c>
      <c r="H183" s="41">
        <f>SUM(H179:H182)</f>
        <v>777800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104812.6</v>
      </c>
      <c r="H192" s="41">
        <f>+H183+SUM(H188:H191)</f>
        <v>777800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43382021.269999996</v>
      </c>
      <c r="G193" s="47">
        <f>G112+G140+G169+G192</f>
        <v>901973.1</v>
      </c>
      <c r="H193" s="47">
        <f>H112+H140+H169+H192</f>
        <v>4176992.9000000004</v>
      </c>
      <c r="I193" s="47">
        <f>I112+I140+I169+I192</f>
        <v>0</v>
      </c>
      <c r="J193" s="47">
        <f>J112+J140+J192</f>
        <v>232627.34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5181277.2699999996</v>
      </c>
      <c r="G197" s="18">
        <v>2734972.11</v>
      </c>
      <c r="H197" s="18">
        <v>43666.43</v>
      </c>
      <c r="I197" s="18">
        <v>170971.26</v>
      </c>
      <c r="J197" s="18">
        <v>25319.599999999999</v>
      </c>
      <c r="K197" s="18"/>
      <c r="L197" s="19">
        <f>SUM(F197:K197)</f>
        <v>8156206.6699999981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1232429.08</v>
      </c>
      <c r="G198" s="18">
        <v>607033.84</v>
      </c>
      <c r="H198" s="18">
        <v>265831.78000000003</v>
      </c>
      <c r="I198" s="18">
        <v>3610.12</v>
      </c>
      <c r="J198" s="18">
        <v>1570.94</v>
      </c>
      <c r="K198" s="18"/>
      <c r="L198" s="19">
        <f>SUM(F198:K198)</f>
        <v>2110475.7600000002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49791.08</v>
      </c>
      <c r="G200" s="18">
        <v>9397.84</v>
      </c>
      <c r="H200" s="18">
        <v>2939</v>
      </c>
      <c r="I200" s="18"/>
      <c r="J200" s="18"/>
      <c r="K200" s="18"/>
      <c r="L200" s="19">
        <f>SUM(F200:K200)</f>
        <v>62127.92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1606666.64</v>
      </c>
      <c r="G202" s="18">
        <v>845938.84</v>
      </c>
      <c r="H202" s="18">
        <v>37431.75</v>
      </c>
      <c r="I202" s="18">
        <v>23639.56</v>
      </c>
      <c r="J202" s="18">
        <v>1679.98</v>
      </c>
      <c r="K202" s="18">
        <v>3102</v>
      </c>
      <c r="L202" s="19">
        <f t="shared" ref="L202:L208" si="0">SUM(F202:K202)</f>
        <v>2518458.77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306193.3</v>
      </c>
      <c r="G203" s="18">
        <v>165290.72</v>
      </c>
      <c r="H203" s="18">
        <v>1784.75</v>
      </c>
      <c r="I203" s="18">
        <v>34173.78</v>
      </c>
      <c r="J203" s="18">
        <v>39803.019999999997</v>
      </c>
      <c r="K203" s="18"/>
      <c r="L203" s="19">
        <f t="shared" si="0"/>
        <v>547245.57000000007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196662.16</v>
      </c>
      <c r="G204" s="18">
        <v>104735.53</v>
      </c>
      <c r="H204" s="18">
        <v>49262.559999999998</v>
      </c>
      <c r="I204" s="18">
        <v>2550.11</v>
      </c>
      <c r="J204" s="18"/>
      <c r="K204" s="18">
        <v>15188.15</v>
      </c>
      <c r="L204" s="19">
        <f t="shared" si="0"/>
        <v>368398.51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563247.19999999995</v>
      </c>
      <c r="G205" s="18">
        <v>300591.33</v>
      </c>
      <c r="H205" s="18">
        <v>1290.53</v>
      </c>
      <c r="I205" s="18">
        <v>1392.94</v>
      </c>
      <c r="J205" s="18"/>
      <c r="K205" s="18"/>
      <c r="L205" s="19">
        <f t="shared" si="0"/>
        <v>866522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107279.67999999999</v>
      </c>
      <c r="G206" s="18">
        <v>54745.97</v>
      </c>
      <c r="H206" s="18">
        <v>69618.73</v>
      </c>
      <c r="I206" s="18">
        <v>283.79000000000002</v>
      </c>
      <c r="J206" s="18"/>
      <c r="K206" s="18">
        <v>1855.42</v>
      </c>
      <c r="L206" s="19">
        <f t="shared" si="0"/>
        <v>233783.59000000003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483992.18</v>
      </c>
      <c r="G207" s="18">
        <v>245350.35</v>
      </c>
      <c r="H207" s="18">
        <v>146465.96</v>
      </c>
      <c r="I207" s="18">
        <v>212862</v>
      </c>
      <c r="J207" s="18">
        <v>30667.37</v>
      </c>
      <c r="K207" s="18">
        <v>3821.31</v>
      </c>
      <c r="L207" s="19">
        <f t="shared" si="0"/>
        <v>1123159.1700000002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373527.38</v>
      </c>
      <c r="I208" s="18"/>
      <c r="J208" s="18"/>
      <c r="K208" s="18"/>
      <c r="L208" s="19">
        <f t="shared" si="0"/>
        <v>373527.38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186689.35</v>
      </c>
      <c r="G209" s="18">
        <v>96752.17</v>
      </c>
      <c r="H209" s="18">
        <v>16277.74</v>
      </c>
      <c r="I209" s="18">
        <v>29860.35</v>
      </c>
      <c r="J209" s="18"/>
      <c r="K209" s="18">
        <v>772.95</v>
      </c>
      <c r="L209" s="19">
        <f>SUM(F209:K209)</f>
        <v>330352.56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9914227.9399999976</v>
      </c>
      <c r="G211" s="41">
        <f t="shared" si="1"/>
        <v>5164808.6999999993</v>
      </c>
      <c r="H211" s="41">
        <f t="shared" si="1"/>
        <v>1008096.61</v>
      </c>
      <c r="I211" s="41">
        <f t="shared" si="1"/>
        <v>479343.91</v>
      </c>
      <c r="J211" s="41">
        <f t="shared" si="1"/>
        <v>99040.909999999989</v>
      </c>
      <c r="K211" s="41">
        <f t="shared" si="1"/>
        <v>24739.83</v>
      </c>
      <c r="L211" s="41">
        <f t="shared" si="1"/>
        <v>16690257.899999999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2499890.52</v>
      </c>
      <c r="G215" s="18">
        <v>1351477.86</v>
      </c>
      <c r="H215" s="18">
        <v>4121.67</v>
      </c>
      <c r="I215" s="18">
        <v>105880.68</v>
      </c>
      <c r="J215" s="18">
        <v>1200</v>
      </c>
      <c r="K215" s="18"/>
      <c r="L215" s="19">
        <f>SUM(F215:K215)</f>
        <v>3962570.73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795552.21</v>
      </c>
      <c r="G216" s="18">
        <v>420822.84</v>
      </c>
      <c r="H216" s="18">
        <v>4795.3999999999996</v>
      </c>
      <c r="I216" s="18">
        <v>1600.74</v>
      </c>
      <c r="J216" s="18">
        <v>543.98</v>
      </c>
      <c r="K216" s="18"/>
      <c r="L216" s="19">
        <f>SUM(F216:K216)</f>
        <v>1223315.17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357276.92</v>
      </c>
      <c r="G217" s="18">
        <v>197968.77</v>
      </c>
      <c r="H217" s="18"/>
      <c r="I217" s="18">
        <v>3123.49</v>
      </c>
      <c r="J217" s="18">
        <v>1434.04</v>
      </c>
      <c r="K217" s="18"/>
      <c r="L217" s="19">
        <f>SUM(F217:K217)</f>
        <v>559803.22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63748</v>
      </c>
      <c r="G218" s="18">
        <v>10865.72</v>
      </c>
      <c r="H218" s="18">
        <v>9592</v>
      </c>
      <c r="I218" s="18">
        <v>10832.1</v>
      </c>
      <c r="J218" s="18"/>
      <c r="K218" s="18"/>
      <c r="L218" s="19">
        <f>SUM(F218:K218)</f>
        <v>95037.82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502325.65</v>
      </c>
      <c r="G220" s="18">
        <v>274127.67</v>
      </c>
      <c r="H220" s="18">
        <v>18967.419999999998</v>
      </c>
      <c r="I220" s="18">
        <v>3664.42</v>
      </c>
      <c r="J220" s="18">
        <v>867.24</v>
      </c>
      <c r="K220" s="18"/>
      <c r="L220" s="19">
        <f t="shared" ref="L220:L226" si="2">SUM(F220:K220)</f>
        <v>799952.40000000014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83057.97</v>
      </c>
      <c r="G221" s="18">
        <v>32987.89</v>
      </c>
      <c r="H221" s="18">
        <v>921.32</v>
      </c>
      <c r="I221" s="18">
        <v>9198</v>
      </c>
      <c r="J221" s="18">
        <v>28964.62</v>
      </c>
      <c r="K221" s="18"/>
      <c r="L221" s="19">
        <f t="shared" si="2"/>
        <v>155129.80000000002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100916.82</v>
      </c>
      <c r="G222" s="18">
        <v>53831.93</v>
      </c>
      <c r="H222" s="18">
        <v>25384.75</v>
      </c>
      <c r="I222" s="18">
        <v>1316.41</v>
      </c>
      <c r="J222" s="18"/>
      <c r="K222" s="18">
        <v>8219.42</v>
      </c>
      <c r="L222" s="19">
        <f t="shared" si="2"/>
        <v>189669.33000000002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304095.69</v>
      </c>
      <c r="G223" s="18">
        <v>165960.69</v>
      </c>
      <c r="H223" s="18">
        <v>781.3</v>
      </c>
      <c r="I223" s="18">
        <v>1900.77</v>
      </c>
      <c r="J223" s="18"/>
      <c r="K223" s="18">
        <v>623.99</v>
      </c>
      <c r="L223" s="19">
        <f t="shared" si="2"/>
        <v>473362.44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55379.85</v>
      </c>
      <c r="G224" s="18">
        <v>28260.92</v>
      </c>
      <c r="H224" s="18">
        <v>38512.6</v>
      </c>
      <c r="I224" s="18">
        <v>146.5</v>
      </c>
      <c r="J224" s="18"/>
      <c r="K224" s="18">
        <v>957.81</v>
      </c>
      <c r="L224" s="19">
        <f t="shared" si="2"/>
        <v>123257.68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288100.03000000003</v>
      </c>
      <c r="G225" s="18">
        <v>144154</v>
      </c>
      <c r="H225" s="18">
        <v>102732.16</v>
      </c>
      <c r="I225" s="18">
        <v>228336.99</v>
      </c>
      <c r="J225" s="18">
        <v>17721.919999999998</v>
      </c>
      <c r="K225" s="18">
        <v>1972.63</v>
      </c>
      <c r="L225" s="19">
        <f t="shared" si="2"/>
        <v>783017.7300000001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177198.88</v>
      </c>
      <c r="I226" s="18"/>
      <c r="J226" s="18"/>
      <c r="K226" s="18"/>
      <c r="L226" s="19">
        <f t="shared" si="2"/>
        <v>177198.88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96372.65</v>
      </c>
      <c r="G227" s="18">
        <v>49945.39</v>
      </c>
      <c r="H227" s="18">
        <v>8402.8799999999992</v>
      </c>
      <c r="I227" s="18">
        <v>15414.49</v>
      </c>
      <c r="J227" s="18"/>
      <c r="K227" s="18">
        <v>399.01</v>
      </c>
      <c r="L227" s="19">
        <f>SUM(F227:K227)</f>
        <v>170534.41999999998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5146716.3100000005</v>
      </c>
      <c r="G229" s="41">
        <f>SUM(G215:G228)</f>
        <v>2730403.6800000006</v>
      </c>
      <c r="H229" s="41">
        <f>SUM(H215:H228)</f>
        <v>391410.38</v>
      </c>
      <c r="I229" s="41">
        <f>SUM(I215:I228)</f>
        <v>381414.58999999997</v>
      </c>
      <c r="J229" s="41">
        <f>SUM(J215:J228)</f>
        <v>50731.799999999996</v>
      </c>
      <c r="K229" s="41">
        <f t="shared" si="3"/>
        <v>12172.859999999999</v>
      </c>
      <c r="L229" s="41">
        <f t="shared" si="3"/>
        <v>8712849.620000001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5029810.59</v>
      </c>
      <c r="G233" s="18">
        <v>2672968.56</v>
      </c>
      <c r="H233" s="18">
        <v>11558.77</v>
      </c>
      <c r="I233" s="18">
        <v>157519.94</v>
      </c>
      <c r="J233" s="18">
        <v>21245.07</v>
      </c>
      <c r="K233" s="18">
        <v>3265</v>
      </c>
      <c r="L233" s="19">
        <f>SUM(F233:K233)</f>
        <v>7896367.9300000006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518321.23</v>
      </c>
      <c r="G234" s="18">
        <v>273123.43</v>
      </c>
      <c r="H234" s="18">
        <v>660386.16</v>
      </c>
      <c r="I234" s="18">
        <v>3538.16</v>
      </c>
      <c r="J234" s="18"/>
      <c r="K234" s="18"/>
      <c r="L234" s="19">
        <f>SUM(F234:K234)</f>
        <v>1455368.9799999997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413683.38</v>
      </c>
      <c r="G235" s="18">
        <v>228912.16</v>
      </c>
      <c r="H235" s="18">
        <v>16723.759999999998</v>
      </c>
      <c r="I235" s="18">
        <v>22943.97</v>
      </c>
      <c r="J235" s="18">
        <v>9099.5</v>
      </c>
      <c r="K235" s="18"/>
      <c r="L235" s="19">
        <f>SUM(F235:K235)</f>
        <v>691362.77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278670.5</v>
      </c>
      <c r="G236" s="18">
        <v>40963.160000000003</v>
      </c>
      <c r="H236" s="18">
        <v>93068.2</v>
      </c>
      <c r="I236" s="18">
        <v>66773.67</v>
      </c>
      <c r="J236" s="18"/>
      <c r="K236" s="18"/>
      <c r="L236" s="19">
        <f>SUM(F236:K236)</f>
        <v>479475.53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1051070.6000000001</v>
      </c>
      <c r="G238" s="18">
        <v>558452.93000000005</v>
      </c>
      <c r="H238" s="18">
        <v>35705.18</v>
      </c>
      <c r="I238" s="18">
        <v>8789.36</v>
      </c>
      <c r="J238" s="18">
        <v>1799.7</v>
      </c>
      <c r="K238" s="18">
        <v>12455</v>
      </c>
      <c r="L238" s="19">
        <f t="shared" ref="L238:L244" si="4">SUM(F238:K238)</f>
        <v>1668272.7700000003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81849.679999999993</v>
      </c>
      <c r="G239" s="18">
        <v>44318.66</v>
      </c>
      <c r="H239" s="18">
        <v>2196.9299999999998</v>
      </c>
      <c r="I239" s="18">
        <v>17223.650000000001</v>
      </c>
      <c r="J239" s="18">
        <v>46380.78</v>
      </c>
      <c r="K239" s="18"/>
      <c r="L239" s="19">
        <f t="shared" si="4"/>
        <v>191969.69999999998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445228.93</v>
      </c>
      <c r="G240" s="18">
        <v>236824.24</v>
      </c>
      <c r="H240" s="18">
        <v>61709.06</v>
      </c>
      <c r="I240" s="18">
        <v>2731.84</v>
      </c>
      <c r="J240" s="18"/>
      <c r="K240" s="18">
        <v>31947.93</v>
      </c>
      <c r="L240" s="19">
        <f t="shared" si="4"/>
        <v>778442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540397.02</v>
      </c>
      <c r="G241" s="18">
        <v>289503.43</v>
      </c>
      <c r="H241" s="18">
        <v>60240.9</v>
      </c>
      <c r="I241" s="18">
        <v>3687.35</v>
      </c>
      <c r="J241" s="18"/>
      <c r="K241" s="18">
        <v>4055</v>
      </c>
      <c r="L241" s="19">
        <f t="shared" si="4"/>
        <v>897883.7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116424.92</v>
      </c>
      <c r="G242" s="18">
        <v>58929.71</v>
      </c>
      <c r="H242" s="18">
        <v>74148.960000000006</v>
      </c>
      <c r="I242" s="18">
        <v>304.01</v>
      </c>
      <c r="J242" s="18"/>
      <c r="K242" s="18">
        <v>1987.65</v>
      </c>
      <c r="L242" s="19">
        <f t="shared" si="4"/>
        <v>251795.25000000003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580227.17000000004</v>
      </c>
      <c r="G243" s="18">
        <v>293439.81</v>
      </c>
      <c r="H243" s="18">
        <v>463590.39</v>
      </c>
      <c r="I243" s="18">
        <v>658451.85</v>
      </c>
      <c r="J243" s="18">
        <v>39869.71</v>
      </c>
      <c r="K243" s="18">
        <v>4093.63</v>
      </c>
      <c r="L243" s="19">
        <f t="shared" si="4"/>
        <v>2039672.56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391794.82</v>
      </c>
      <c r="I244" s="18"/>
      <c r="J244" s="18"/>
      <c r="K244" s="18"/>
      <c r="L244" s="19">
        <f t="shared" si="4"/>
        <v>391794.82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199993.67</v>
      </c>
      <c r="G245" s="18">
        <v>103687.27</v>
      </c>
      <c r="H245" s="18">
        <v>17437.759999999998</v>
      </c>
      <c r="I245" s="18">
        <v>31948.400000000001</v>
      </c>
      <c r="J245" s="18"/>
      <c r="K245" s="18">
        <v>828.04</v>
      </c>
      <c r="L245" s="19">
        <f>SUM(F245:K245)</f>
        <v>353895.14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9255677.6899999995</v>
      </c>
      <c r="G247" s="41">
        <f t="shared" si="5"/>
        <v>4801123.3599999994</v>
      </c>
      <c r="H247" s="41">
        <f t="shared" si="5"/>
        <v>1888560.8900000001</v>
      </c>
      <c r="I247" s="41">
        <f t="shared" si="5"/>
        <v>973912.20000000007</v>
      </c>
      <c r="J247" s="41">
        <f t="shared" si="5"/>
        <v>118394.76000000001</v>
      </c>
      <c r="K247" s="41">
        <f t="shared" si="5"/>
        <v>58632.25</v>
      </c>
      <c r="L247" s="41">
        <f t="shared" si="5"/>
        <v>17096301.149999999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24316621.939999998</v>
      </c>
      <c r="G257" s="41">
        <f t="shared" si="8"/>
        <v>12696335.739999998</v>
      </c>
      <c r="H257" s="41">
        <f t="shared" si="8"/>
        <v>3288067.88</v>
      </c>
      <c r="I257" s="41">
        <f t="shared" si="8"/>
        <v>1834670.7000000002</v>
      </c>
      <c r="J257" s="41">
        <f t="shared" si="8"/>
        <v>268167.46999999997</v>
      </c>
      <c r="K257" s="41">
        <f t="shared" si="8"/>
        <v>95544.94</v>
      </c>
      <c r="L257" s="41">
        <f t="shared" si="8"/>
        <v>42499408.670000002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104812.6</v>
      </c>
      <c r="L263" s="19">
        <f>SUM(F263:K263)</f>
        <v>104812.6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777800</v>
      </c>
      <c r="L264" s="19">
        <f t="shared" ref="L264:L270" si="9">SUM(F264:K264)</f>
        <v>777800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882612.6</v>
      </c>
      <c r="L270" s="41">
        <f t="shared" si="9"/>
        <v>882612.6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24316621.939999998</v>
      </c>
      <c r="G271" s="42">
        <f t="shared" si="11"/>
        <v>12696335.739999998</v>
      </c>
      <c r="H271" s="42">
        <f t="shared" si="11"/>
        <v>3288067.88</v>
      </c>
      <c r="I271" s="42">
        <f t="shared" si="11"/>
        <v>1834670.7000000002</v>
      </c>
      <c r="J271" s="42">
        <f t="shared" si="11"/>
        <v>268167.46999999997</v>
      </c>
      <c r="K271" s="42">
        <f t="shared" si="11"/>
        <v>978157.54</v>
      </c>
      <c r="L271" s="42">
        <f t="shared" si="11"/>
        <v>43382021.270000003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506327.1</v>
      </c>
      <c r="G276" s="18">
        <v>58386.65</v>
      </c>
      <c r="H276" s="18"/>
      <c r="I276" s="18">
        <v>6751.04</v>
      </c>
      <c r="J276" s="18"/>
      <c r="K276" s="18"/>
      <c r="L276" s="19">
        <f>SUM(F276:K276)</f>
        <v>571464.79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451421.39</v>
      </c>
      <c r="G277" s="18">
        <v>51389.120000000003</v>
      </c>
      <c r="H277" s="18">
        <v>9330.11</v>
      </c>
      <c r="I277" s="18">
        <v>3170.16</v>
      </c>
      <c r="J277" s="18">
        <v>14670.66</v>
      </c>
      <c r="K277" s="18"/>
      <c r="L277" s="19">
        <f>SUM(F277:K277)</f>
        <v>529981.43999999994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13332.5</v>
      </c>
      <c r="G279" s="18">
        <v>2359.91</v>
      </c>
      <c r="H279" s="18">
        <v>18512.439999999999</v>
      </c>
      <c r="I279" s="18">
        <v>6266.44</v>
      </c>
      <c r="J279" s="18"/>
      <c r="K279" s="18">
        <v>49.75</v>
      </c>
      <c r="L279" s="19">
        <f>SUM(F279:K279)</f>
        <v>40521.040000000001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400</v>
      </c>
      <c r="G281" s="18">
        <v>93.28</v>
      </c>
      <c r="H281" s="18">
        <v>27589.58</v>
      </c>
      <c r="I281" s="18">
        <v>2920.3</v>
      </c>
      <c r="J281" s="18"/>
      <c r="K281" s="18">
        <v>75</v>
      </c>
      <c r="L281" s="19">
        <f t="shared" ref="L281:L287" si="12">SUM(F281:K281)</f>
        <v>31078.16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32038.71</v>
      </c>
      <c r="G282" s="18">
        <v>2718.57</v>
      </c>
      <c r="H282" s="18">
        <v>101935.03999999999</v>
      </c>
      <c r="I282" s="18">
        <v>4588.9799999999996</v>
      </c>
      <c r="J282" s="18"/>
      <c r="K282" s="18"/>
      <c r="L282" s="19">
        <f t="shared" si="12"/>
        <v>141281.30000000002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22679.48</v>
      </c>
      <c r="G283" s="18">
        <v>4440.18</v>
      </c>
      <c r="H283" s="18"/>
      <c r="I283" s="18">
        <v>50</v>
      </c>
      <c r="J283" s="18"/>
      <c r="K283" s="18"/>
      <c r="L283" s="19">
        <f t="shared" si="12"/>
        <v>27169.66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18132.86</v>
      </c>
      <c r="K286" s="18"/>
      <c r="L286" s="19">
        <f t="shared" si="12"/>
        <v>18132.86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16121.25</v>
      </c>
      <c r="I287" s="18"/>
      <c r="J287" s="18"/>
      <c r="K287" s="18"/>
      <c r="L287" s="19">
        <f t="shared" si="12"/>
        <v>16121.25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1026199.1799999999</v>
      </c>
      <c r="G290" s="42">
        <f t="shared" si="13"/>
        <v>119387.71000000002</v>
      </c>
      <c r="H290" s="42">
        <f t="shared" si="13"/>
        <v>173488.41999999998</v>
      </c>
      <c r="I290" s="42">
        <f t="shared" si="13"/>
        <v>23746.92</v>
      </c>
      <c r="J290" s="42">
        <f t="shared" si="13"/>
        <v>32803.520000000004</v>
      </c>
      <c r="K290" s="42">
        <f t="shared" si="13"/>
        <v>124.75</v>
      </c>
      <c r="L290" s="41">
        <f t="shared" si="13"/>
        <v>1375750.5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373963.02</v>
      </c>
      <c r="G296" s="18">
        <v>52725.37</v>
      </c>
      <c r="H296" s="18">
        <v>4658.46</v>
      </c>
      <c r="I296" s="18">
        <v>605.27</v>
      </c>
      <c r="J296" s="18">
        <v>7158.36</v>
      </c>
      <c r="K296" s="18"/>
      <c r="L296" s="19">
        <f>SUM(F296:K296)</f>
        <v>439110.48000000004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3339.13</v>
      </c>
      <c r="G298" s="18">
        <v>456.9</v>
      </c>
      <c r="H298" s="18">
        <v>431</v>
      </c>
      <c r="I298" s="18">
        <v>480.43</v>
      </c>
      <c r="J298" s="18"/>
      <c r="K298" s="18"/>
      <c r="L298" s="19">
        <f>SUM(F298:K298)</f>
        <v>4707.4600000000009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10313.06</v>
      </c>
      <c r="I300" s="18">
        <v>916.95</v>
      </c>
      <c r="J300" s="18"/>
      <c r="K300" s="18"/>
      <c r="L300" s="19">
        <f t="shared" ref="L300:L306" si="14">SUM(F300:K300)</f>
        <v>11230.01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2887.83</v>
      </c>
      <c r="I301" s="18">
        <v>71.91</v>
      </c>
      <c r="J301" s="18"/>
      <c r="K301" s="18"/>
      <c r="L301" s="19">
        <f t="shared" si="14"/>
        <v>2959.74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8968.67</v>
      </c>
      <c r="G302" s="18">
        <v>1658.46</v>
      </c>
      <c r="H302" s="18"/>
      <c r="I302" s="18"/>
      <c r="J302" s="18"/>
      <c r="K302" s="18"/>
      <c r="L302" s="19">
        <f t="shared" si="14"/>
        <v>10627.130000000001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62412.4</v>
      </c>
      <c r="I305" s="18"/>
      <c r="J305" s="18">
        <v>8844.31</v>
      </c>
      <c r="K305" s="18"/>
      <c r="L305" s="19">
        <f t="shared" si="14"/>
        <v>71256.710000000006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1998.75</v>
      </c>
      <c r="I306" s="18"/>
      <c r="J306" s="18"/>
      <c r="K306" s="18"/>
      <c r="L306" s="19">
        <f t="shared" si="14"/>
        <v>1998.75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386270.82</v>
      </c>
      <c r="G309" s="42">
        <f t="shared" si="15"/>
        <v>54840.73</v>
      </c>
      <c r="H309" s="42">
        <f t="shared" si="15"/>
        <v>82701.5</v>
      </c>
      <c r="I309" s="42">
        <f t="shared" si="15"/>
        <v>2074.56</v>
      </c>
      <c r="J309" s="42">
        <f t="shared" si="15"/>
        <v>16002.669999999998</v>
      </c>
      <c r="K309" s="42">
        <f t="shared" si="15"/>
        <v>0</v>
      </c>
      <c r="L309" s="41">
        <f t="shared" si="15"/>
        <v>541890.28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1324732.8500000001</v>
      </c>
      <c r="G315" s="18">
        <v>254067.7</v>
      </c>
      <c r="H315" s="18">
        <v>16106.07</v>
      </c>
      <c r="I315" s="18">
        <v>23255.13</v>
      </c>
      <c r="J315" s="18">
        <v>15101.5</v>
      </c>
      <c r="K315" s="18">
        <v>1005</v>
      </c>
      <c r="L315" s="19">
        <f>SUM(F315:K315)</f>
        <v>1634268.25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23562</v>
      </c>
      <c r="G316" s="18">
        <v>4294.8</v>
      </c>
      <c r="H316" s="18">
        <v>27931.27</v>
      </c>
      <c r="I316" s="18">
        <v>10671.72</v>
      </c>
      <c r="J316" s="18">
        <v>21186.09</v>
      </c>
      <c r="K316" s="18">
        <v>246.15</v>
      </c>
      <c r="L316" s="19">
        <f>SUM(F316:K316)</f>
        <v>87892.029999999984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1014</v>
      </c>
      <c r="G317" s="18">
        <v>1317.5</v>
      </c>
      <c r="H317" s="18">
        <v>97530.61</v>
      </c>
      <c r="I317" s="18">
        <v>14838.87</v>
      </c>
      <c r="J317" s="18"/>
      <c r="K317" s="18"/>
      <c r="L317" s="19">
        <f>SUM(F317:K317)</f>
        <v>114700.98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80905.45</v>
      </c>
      <c r="G319" s="18">
        <v>12364</v>
      </c>
      <c r="H319" s="18">
        <v>21401.78</v>
      </c>
      <c r="I319" s="18">
        <v>1902.87</v>
      </c>
      <c r="J319" s="18"/>
      <c r="K319" s="18"/>
      <c r="L319" s="19">
        <f t="shared" ref="L319:L325" si="16">SUM(F319:K319)</f>
        <v>116574.09999999999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2886.83</v>
      </c>
      <c r="I320" s="18">
        <v>71.91</v>
      </c>
      <c r="J320" s="18"/>
      <c r="K320" s="18">
        <v>1885.93</v>
      </c>
      <c r="L320" s="19">
        <f t="shared" si="16"/>
        <v>4844.67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97594.19</v>
      </c>
      <c r="G321" s="18">
        <v>13067.18</v>
      </c>
      <c r="H321" s="18"/>
      <c r="I321" s="18"/>
      <c r="J321" s="18"/>
      <c r="K321" s="18"/>
      <c r="L321" s="19">
        <f t="shared" si="16"/>
        <v>110661.37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99656.88</v>
      </c>
      <c r="G322" s="18">
        <v>23187.439999999999</v>
      </c>
      <c r="H322" s="18">
        <v>826.47</v>
      </c>
      <c r="I322" s="18"/>
      <c r="J322" s="18"/>
      <c r="K322" s="18"/>
      <c r="L322" s="19">
        <f t="shared" si="16"/>
        <v>123670.79000000001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21138.3</v>
      </c>
      <c r="G324" s="18">
        <v>3977.27</v>
      </c>
      <c r="H324" s="18">
        <v>3417.5</v>
      </c>
      <c r="I324" s="18">
        <v>24391.78</v>
      </c>
      <c r="J324" s="18">
        <v>18353.82</v>
      </c>
      <c r="K324" s="18"/>
      <c r="L324" s="19">
        <f t="shared" si="16"/>
        <v>71278.67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4259.96</v>
      </c>
      <c r="I325" s="18"/>
      <c r="J325" s="18"/>
      <c r="K325" s="18"/>
      <c r="L325" s="19">
        <f t="shared" si="16"/>
        <v>4259.96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1648603.6700000002</v>
      </c>
      <c r="G328" s="42">
        <f t="shared" si="17"/>
        <v>312275.89</v>
      </c>
      <c r="H328" s="42">
        <f t="shared" si="17"/>
        <v>174360.49</v>
      </c>
      <c r="I328" s="42">
        <f t="shared" si="17"/>
        <v>75132.28</v>
      </c>
      <c r="J328" s="42">
        <f t="shared" si="17"/>
        <v>54641.409999999996</v>
      </c>
      <c r="K328" s="42">
        <f t="shared" si="17"/>
        <v>3137.08</v>
      </c>
      <c r="L328" s="41">
        <f t="shared" si="17"/>
        <v>2268150.8199999998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3061073.67</v>
      </c>
      <c r="G338" s="41">
        <f t="shared" si="20"/>
        <v>486504.33000000007</v>
      </c>
      <c r="H338" s="41">
        <f t="shared" si="20"/>
        <v>430550.41</v>
      </c>
      <c r="I338" s="41">
        <f t="shared" si="20"/>
        <v>100953.76</v>
      </c>
      <c r="J338" s="41">
        <f t="shared" si="20"/>
        <v>103447.6</v>
      </c>
      <c r="K338" s="41">
        <f t="shared" si="20"/>
        <v>3261.83</v>
      </c>
      <c r="L338" s="41">
        <f t="shared" si="20"/>
        <v>4185791.5999999996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3061073.67</v>
      </c>
      <c r="G352" s="41">
        <f>G338</f>
        <v>486504.33000000007</v>
      </c>
      <c r="H352" s="41">
        <f>H338</f>
        <v>430550.41</v>
      </c>
      <c r="I352" s="41">
        <f>I338</f>
        <v>100953.76</v>
      </c>
      <c r="J352" s="41">
        <f>J338</f>
        <v>103447.6</v>
      </c>
      <c r="K352" s="47">
        <f>K338+K351</f>
        <v>3261.83</v>
      </c>
      <c r="L352" s="41">
        <f>L338+L351</f>
        <v>4185791.5999999996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144019.51999999999</v>
      </c>
      <c r="G358" s="18">
        <v>23768.5</v>
      </c>
      <c r="H358" s="18">
        <v>10689.49</v>
      </c>
      <c r="I358" s="18">
        <v>151069.20000000001</v>
      </c>
      <c r="J358" s="18">
        <v>509.1</v>
      </c>
      <c r="K358" s="18">
        <v>582.76</v>
      </c>
      <c r="L358" s="13">
        <f>SUM(F358:K358)</f>
        <v>330638.56999999995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104199.89</v>
      </c>
      <c r="G359" s="18">
        <v>15540.04</v>
      </c>
      <c r="H359" s="18">
        <v>6245.74</v>
      </c>
      <c r="I359" s="18">
        <v>88267.92</v>
      </c>
      <c r="J359" s="18">
        <v>297.45999999999998</v>
      </c>
      <c r="K359" s="18">
        <v>340.5</v>
      </c>
      <c r="L359" s="19">
        <f>SUM(F359:K359)</f>
        <v>214891.55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165927.95000000001</v>
      </c>
      <c r="G360" s="18">
        <v>22876.7</v>
      </c>
      <c r="H360" s="18">
        <v>11202.23</v>
      </c>
      <c r="I360" s="18">
        <v>158315.46</v>
      </c>
      <c r="J360" s="18">
        <v>533.5</v>
      </c>
      <c r="K360" s="18">
        <v>610.71</v>
      </c>
      <c r="L360" s="19">
        <f>SUM(F360:K360)</f>
        <v>359466.55000000005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414147.36</v>
      </c>
      <c r="G362" s="47">
        <f t="shared" si="22"/>
        <v>62185.240000000005</v>
      </c>
      <c r="H362" s="47">
        <f t="shared" si="22"/>
        <v>28137.46</v>
      </c>
      <c r="I362" s="47">
        <f t="shared" si="22"/>
        <v>397652.57999999996</v>
      </c>
      <c r="J362" s="47">
        <f t="shared" si="22"/>
        <v>1340.06</v>
      </c>
      <c r="K362" s="47">
        <f t="shared" si="22"/>
        <v>1533.97</v>
      </c>
      <c r="L362" s="47">
        <f t="shared" si="22"/>
        <v>904996.66999999993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136499.85</v>
      </c>
      <c r="G367" s="18">
        <v>79755.22</v>
      </c>
      <c r="H367" s="18">
        <v>143047.26999999999</v>
      </c>
      <c r="I367" s="56">
        <f>SUM(F367:H367)</f>
        <v>359302.33999999997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14569.35</v>
      </c>
      <c r="G368" s="63">
        <v>8512.7000000000007</v>
      </c>
      <c r="H368" s="63">
        <v>15268.19</v>
      </c>
      <c r="I368" s="56">
        <f>SUM(F368:H368)</f>
        <v>38350.240000000005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151069.20000000001</v>
      </c>
      <c r="G369" s="47">
        <f>SUM(G367:G368)</f>
        <v>88267.92</v>
      </c>
      <c r="H369" s="47">
        <f>SUM(H367:H368)</f>
        <v>158315.46</v>
      </c>
      <c r="I369" s="47">
        <f>SUM(I367:I368)</f>
        <v>397652.57999999996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 t="s">
        <v>912</v>
      </c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>
        <v>114500.29</v>
      </c>
      <c r="I405" s="18">
        <v>118127.05</v>
      </c>
      <c r="J405" s="24" t="s">
        <v>289</v>
      </c>
      <c r="K405" s="24" t="s">
        <v>289</v>
      </c>
      <c r="L405" s="56">
        <f>SUM(F405:K405)</f>
        <v>232627.34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114500.29</v>
      </c>
      <c r="I407" s="47">
        <f>SUM(I403:I406)</f>
        <v>118127.05</v>
      </c>
      <c r="J407" s="49" t="s">
        <v>289</v>
      </c>
      <c r="K407" s="49" t="s">
        <v>289</v>
      </c>
      <c r="L407" s="47">
        <f>SUM(L403:L406)</f>
        <v>232627.34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114500.29</v>
      </c>
      <c r="I408" s="47">
        <f>I393+I401+I407</f>
        <v>118127.05</v>
      </c>
      <c r="J408" s="24" t="s">
        <v>289</v>
      </c>
      <c r="K408" s="24" t="s">
        <v>289</v>
      </c>
      <c r="L408" s="47">
        <f>L393+L401+L407</f>
        <v>232627.34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 t="s">
        <v>912</v>
      </c>
      <c r="B431" s="6">
        <v>17</v>
      </c>
      <c r="C431" s="6">
        <v>17</v>
      </c>
      <c r="D431" s="2" t="s">
        <v>433</v>
      </c>
      <c r="E431" s="6"/>
      <c r="F431" s="18"/>
      <c r="G431" s="18"/>
      <c r="H431" s="18">
        <v>110025</v>
      </c>
      <c r="I431" s="18"/>
      <c r="J431" s="18"/>
      <c r="K431" s="18">
        <v>17380.830000000002</v>
      </c>
      <c r="L431" s="56">
        <f>SUM(F431:K431)</f>
        <v>127405.83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110025</v>
      </c>
      <c r="I433" s="47">
        <f t="shared" si="31"/>
        <v>0</v>
      </c>
      <c r="J433" s="47">
        <f t="shared" si="31"/>
        <v>0</v>
      </c>
      <c r="K433" s="47">
        <f t="shared" si="31"/>
        <v>17380.830000000002</v>
      </c>
      <c r="L433" s="47">
        <f t="shared" si="31"/>
        <v>127405.83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110025</v>
      </c>
      <c r="I434" s="47">
        <f t="shared" si="32"/>
        <v>0</v>
      </c>
      <c r="J434" s="47">
        <f t="shared" si="32"/>
        <v>0</v>
      </c>
      <c r="K434" s="47">
        <f t="shared" si="32"/>
        <v>17380.830000000002</v>
      </c>
      <c r="L434" s="47">
        <f t="shared" si="32"/>
        <v>127405.83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78982.05</v>
      </c>
      <c r="I439" s="56">
        <f t="shared" ref="I439:I445" si="33">SUM(F439:H439)</f>
        <v>78982.05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>
        <v>5239979.1900000004</v>
      </c>
      <c r="I441" s="56">
        <f t="shared" si="33"/>
        <v>5239979.1900000004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5318961.24</v>
      </c>
      <c r="I446" s="13">
        <f>SUM(I439:I445)</f>
        <v>5318961.24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5193725.87</v>
      </c>
      <c r="I457" s="56">
        <f t="shared" si="34"/>
        <v>5193725.87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125235.37</v>
      </c>
      <c r="I458" s="56">
        <f t="shared" si="34"/>
        <v>125235.37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5318961.24</v>
      </c>
      <c r="I460" s="83">
        <f>SUM(I454:I459)</f>
        <v>5318961.24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5318961.24</v>
      </c>
      <c r="I461" s="42">
        <f>I452+I460</f>
        <v>5318961.24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2625.99</v>
      </c>
      <c r="H465" s="18">
        <v>598321.97</v>
      </c>
      <c r="I465" s="18"/>
      <c r="J465" s="18">
        <v>5213739.7300000004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43382021.270000003</v>
      </c>
      <c r="G468" s="18">
        <v>901973.1</v>
      </c>
      <c r="H468" s="18">
        <v>4176992.9</v>
      </c>
      <c r="I468" s="18"/>
      <c r="J468" s="18">
        <v>232627.34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43382021.270000003</v>
      </c>
      <c r="G470" s="53">
        <f>SUM(G468:G469)</f>
        <v>901973.1</v>
      </c>
      <c r="H470" s="53">
        <f>SUM(H468:H469)</f>
        <v>4176992.9</v>
      </c>
      <c r="I470" s="53">
        <f>SUM(I468:I469)</f>
        <v>0</v>
      </c>
      <c r="J470" s="53">
        <f>SUM(J468:J469)</f>
        <v>232627.34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43382021.270000003</v>
      </c>
      <c r="G472" s="18">
        <v>904996.67</v>
      </c>
      <c r="H472" s="18">
        <v>4185791.6</v>
      </c>
      <c r="I472" s="18"/>
      <c r="J472" s="18">
        <v>127405.83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43382021.270000003</v>
      </c>
      <c r="G474" s="53">
        <f>SUM(G472:G473)</f>
        <v>904996.67</v>
      </c>
      <c r="H474" s="53">
        <f>SUM(H472:H473)</f>
        <v>4185791.6</v>
      </c>
      <c r="I474" s="53">
        <f>SUM(I472:I473)</f>
        <v>0</v>
      </c>
      <c r="J474" s="53">
        <f>SUM(J472:J473)</f>
        <v>127405.83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-397.58000000007451</v>
      </c>
      <c r="H476" s="53">
        <f>(H465+H470)- H474</f>
        <v>589523.27</v>
      </c>
      <c r="I476" s="53">
        <f>(I465+I470)- I474</f>
        <v>0</v>
      </c>
      <c r="J476" s="53">
        <f>(J465+J470)- J474</f>
        <v>5318961.24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1632680.1</v>
      </c>
      <c r="G521" s="18">
        <v>447588.04</v>
      </c>
      <c r="H521" s="18">
        <v>536709.9</v>
      </c>
      <c r="I521" s="18">
        <v>6251.2</v>
      </c>
      <c r="J521" s="18">
        <v>16731.919999999998</v>
      </c>
      <c r="K521" s="18"/>
      <c r="L521" s="88">
        <f>SUM(F521:K521)</f>
        <v>2639961.16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1132685.17</v>
      </c>
      <c r="G522" s="18">
        <v>388499.65</v>
      </c>
      <c r="H522" s="18">
        <v>143885</v>
      </c>
      <c r="I522" s="18">
        <v>1646.04</v>
      </c>
      <c r="J522" s="18">
        <v>7702.34</v>
      </c>
      <c r="K522" s="18"/>
      <c r="L522" s="88">
        <f>SUM(F522:K522)</f>
        <v>1674418.2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1731624.96</v>
      </c>
      <c r="G523" s="18">
        <v>619576.37</v>
      </c>
      <c r="H523" s="18">
        <v>1057728.08</v>
      </c>
      <c r="I523" s="18">
        <v>26152.44</v>
      </c>
      <c r="J523" s="18">
        <v>15391.46</v>
      </c>
      <c r="K523" s="18">
        <v>1005</v>
      </c>
      <c r="L523" s="88">
        <f>SUM(F523:K523)</f>
        <v>3451478.31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4496990.2300000004</v>
      </c>
      <c r="G524" s="108">
        <f t="shared" ref="G524:L524" si="36">SUM(G521:G523)</f>
        <v>1455664.06</v>
      </c>
      <c r="H524" s="108">
        <f t="shared" si="36"/>
        <v>1738322.98</v>
      </c>
      <c r="I524" s="108">
        <f t="shared" si="36"/>
        <v>34049.68</v>
      </c>
      <c r="J524" s="108">
        <f t="shared" si="36"/>
        <v>39825.72</v>
      </c>
      <c r="K524" s="108">
        <f t="shared" si="36"/>
        <v>1005</v>
      </c>
      <c r="L524" s="89">
        <f t="shared" si="36"/>
        <v>7765857.6699999999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551021.71</v>
      </c>
      <c r="G526" s="18">
        <v>193350.08</v>
      </c>
      <c r="H526" s="18">
        <v>41176.51</v>
      </c>
      <c r="I526" s="18">
        <v>2429.61</v>
      </c>
      <c r="J526" s="18">
        <v>1293.5</v>
      </c>
      <c r="K526" s="18"/>
      <c r="L526" s="88">
        <f>SUM(F526:K526)</f>
        <v>789271.40999999992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126384.66</v>
      </c>
      <c r="G527" s="18">
        <v>47771.92</v>
      </c>
      <c r="H527" s="18">
        <v>11567.18</v>
      </c>
      <c r="I527" s="18">
        <v>1201.43</v>
      </c>
      <c r="J527" s="18">
        <v>667.73</v>
      </c>
      <c r="K527" s="18"/>
      <c r="L527" s="88">
        <f>SUM(F527:K527)</f>
        <v>187592.92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205157.4</v>
      </c>
      <c r="G528" s="18">
        <v>73009.56</v>
      </c>
      <c r="H528" s="18">
        <v>36425.99</v>
      </c>
      <c r="I528" s="18">
        <v>3017.29</v>
      </c>
      <c r="J528" s="18">
        <v>1385.68</v>
      </c>
      <c r="K528" s="18">
        <v>3</v>
      </c>
      <c r="L528" s="88">
        <f>SUM(F528:K528)</f>
        <v>318998.91999999993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882563.77</v>
      </c>
      <c r="G529" s="89">
        <f t="shared" ref="G529:L529" si="37">SUM(G526:G528)</f>
        <v>314131.56</v>
      </c>
      <c r="H529" s="89">
        <f t="shared" si="37"/>
        <v>89169.68</v>
      </c>
      <c r="I529" s="89">
        <f t="shared" si="37"/>
        <v>6648.33</v>
      </c>
      <c r="J529" s="89">
        <f t="shared" si="37"/>
        <v>3346.91</v>
      </c>
      <c r="K529" s="89">
        <f t="shared" si="37"/>
        <v>3</v>
      </c>
      <c r="L529" s="89">
        <f t="shared" si="37"/>
        <v>1295863.25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74189.14</v>
      </c>
      <c r="G531" s="18">
        <v>27711.1</v>
      </c>
      <c r="H531" s="18">
        <v>88.21</v>
      </c>
      <c r="I531" s="18"/>
      <c r="J531" s="18"/>
      <c r="K531" s="18"/>
      <c r="L531" s="88">
        <f>SUM(F531:K531)</f>
        <v>101988.45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37572.44</v>
      </c>
      <c r="G532" s="18">
        <v>14106.23</v>
      </c>
      <c r="H532" s="18"/>
      <c r="I532" s="18"/>
      <c r="J532" s="18"/>
      <c r="K532" s="18"/>
      <c r="L532" s="88">
        <f>SUM(F532:K532)</f>
        <v>51678.67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257674.74</v>
      </c>
      <c r="G533" s="18">
        <v>96153.48</v>
      </c>
      <c r="H533" s="18"/>
      <c r="I533" s="18"/>
      <c r="J533" s="18"/>
      <c r="K533" s="18"/>
      <c r="L533" s="88">
        <f>SUM(F533:K533)</f>
        <v>353828.22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369436.32</v>
      </c>
      <c r="G534" s="89">
        <f t="shared" ref="G534:L534" si="38">SUM(G531:G533)</f>
        <v>137970.81</v>
      </c>
      <c r="H534" s="89">
        <f t="shared" si="38"/>
        <v>88.21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507495.33999999997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22043.9</v>
      </c>
      <c r="I536" s="18"/>
      <c r="J536" s="18"/>
      <c r="K536" s="18"/>
      <c r="L536" s="88">
        <f>SUM(F536:K536)</f>
        <v>22043.9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11379.49</v>
      </c>
      <c r="I537" s="18"/>
      <c r="J537" s="18"/>
      <c r="K537" s="18"/>
      <c r="L537" s="88">
        <f>SUM(F537:K537)</f>
        <v>11379.49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23614.85</v>
      </c>
      <c r="I538" s="18"/>
      <c r="J538" s="18"/>
      <c r="K538" s="18"/>
      <c r="L538" s="88">
        <f>SUM(F538:K538)</f>
        <v>23614.85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57038.239999999998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57038.239999999998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74792</v>
      </c>
      <c r="I541" s="18"/>
      <c r="J541" s="18"/>
      <c r="K541" s="18"/>
      <c r="L541" s="88">
        <f>SUM(F541:K541)</f>
        <v>74792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7686.9</v>
      </c>
      <c r="I542" s="18"/>
      <c r="J542" s="18"/>
      <c r="K542" s="18"/>
      <c r="L542" s="88">
        <f>SUM(F542:K542)</f>
        <v>7686.9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24956.1</v>
      </c>
      <c r="I543" s="18"/>
      <c r="J543" s="18"/>
      <c r="K543" s="18"/>
      <c r="L543" s="88">
        <f>SUM(F543:K543)</f>
        <v>24956.1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107435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107435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5748990.3200000003</v>
      </c>
      <c r="G545" s="89">
        <f t="shared" ref="G545:L545" si="41">G524+G529+G534+G539+G544</f>
        <v>1907766.4300000002</v>
      </c>
      <c r="H545" s="89">
        <f t="shared" si="41"/>
        <v>1992054.1099999999</v>
      </c>
      <c r="I545" s="89">
        <f t="shared" si="41"/>
        <v>40698.01</v>
      </c>
      <c r="J545" s="89">
        <f t="shared" si="41"/>
        <v>43172.630000000005</v>
      </c>
      <c r="K545" s="89">
        <f t="shared" si="41"/>
        <v>1008</v>
      </c>
      <c r="L545" s="89">
        <f t="shared" si="41"/>
        <v>9733689.5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2639961.16</v>
      </c>
      <c r="G549" s="87">
        <f>L526</f>
        <v>789271.40999999992</v>
      </c>
      <c r="H549" s="87">
        <f>L531</f>
        <v>101988.45</v>
      </c>
      <c r="I549" s="87">
        <f>L536</f>
        <v>22043.9</v>
      </c>
      <c r="J549" s="87">
        <f>L541</f>
        <v>74792</v>
      </c>
      <c r="K549" s="87">
        <f>SUM(F549:J549)</f>
        <v>3628056.9200000004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1674418.2</v>
      </c>
      <c r="G550" s="87">
        <f>L527</f>
        <v>187592.92</v>
      </c>
      <c r="H550" s="87">
        <f>L532</f>
        <v>51678.67</v>
      </c>
      <c r="I550" s="87">
        <f>L537</f>
        <v>11379.49</v>
      </c>
      <c r="J550" s="87">
        <f>L542</f>
        <v>7686.9</v>
      </c>
      <c r="K550" s="87">
        <f>SUM(F550:J550)</f>
        <v>1932756.1799999997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3451478.31</v>
      </c>
      <c r="G551" s="87">
        <f>L528</f>
        <v>318998.91999999993</v>
      </c>
      <c r="H551" s="87">
        <f>L533</f>
        <v>353828.22</v>
      </c>
      <c r="I551" s="87">
        <f>L538</f>
        <v>23614.85</v>
      </c>
      <c r="J551" s="87">
        <f>L543</f>
        <v>24956.1</v>
      </c>
      <c r="K551" s="87">
        <f>SUM(F551:J551)</f>
        <v>4172876.4000000004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7765857.6699999999</v>
      </c>
      <c r="G552" s="89">
        <f t="shared" si="42"/>
        <v>1295863.25</v>
      </c>
      <c r="H552" s="89">
        <f t="shared" si="42"/>
        <v>507495.33999999997</v>
      </c>
      <c r="I552" s="89">
        <f t="shared" si="42"/>
        <v>57038.239999999998</v>
      </c>
      <c r="J552" s="89">
        <f t="shared" si="42"/>
        <v>107435</v>
      </c>
      <c r="K552" s="89">
        <f t="shared" si="42"/>
        <v>9733689.5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1009940.94</v>
      </c>
      <c r="G557" s="18">
        <v>376318.29</v>
      </c>
      <c r="H557" s="18">
        <v>2933.18</v>
      </c>
      <c r="I557" s="18">
        <v>31226.93</v>
      </c>
      <c r="J557" s="18"/>
      <c r="K557" s="18">
        <v>75</v>
      </c>
      <c r="L557" s="88">
        <f>SUM(F557:K557)</f>
        <v>1420494.3399999999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75704.98</v>
      </c>
      <c r="G558" s="18">
        <v>41868</v>
      </c>
      <c r="H558" s="18"/>
      <c r="I558" s="18">
        <v>1562.05</v>
      </c>
      <c r="J558" s="18"/>
      <c r="K558" s="18"/>
      <c r="L558" s="88">
        <f>SUM(F558:K558)</f>
        <v>119135.03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15000</v>
      </c>
      <c r="G559" s="18">
        <v>1147.5</v>
      </c>
      <c r="H559" s="18">
        <v>85209.61</v>
      </c>
      <c r="I559" s="18">
        <v>800.99</v>
      </c>
      <c r="J559" s="18" t="s">
        <v>913</v>
      </c>
      <c r="K559" s="18"/>
      <c r="L559" s="88">
        <f>SUM(F559:K559)</f>
        <v>102158.1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1100645.92</v>
      </c>
      <c r="G560" s="108">
        <f t="shared" si="43"/>
        <v>419333.79</v>
      </c>
      <c r="H560" s="108">
        <f t="shared" si="43"/>
        <v>88142.79</v>
      </c>
      <c r="I560" s="108">
        <f t="shared" si="43"/>
        <v>33589.97</v>
      </c>
      <c r="J560" s="108">
        <f t="shared" si="43"/>
        <v>0</v>
      </c>
      <c r="K560" s="108">
        <f t="shared" si="43"/>
        <v>75</v>
      </c>
      <c r="L560" s="89">
        <f t="shared" si="43"/>
        <v>1641787.47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67395.86</v>
      </c>
      <c r="G562" s="18">
        <v>12013.11</v>
      </c>
      <c r="H562" s="18">
        <v>226.09</v>
      </c>
      <c r="I562" s="18">
        <v>246.27</v>
      </c>
      <c r="J562" s="18"/>
      <c r="K562" s="18"/>
      <c r="L562" s="88">
        <f>SUM(F562:K562)</f>
        <v>79881.33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32891.94</v>
      </c>
      <c r="G563" s="18">
        <v>6026.99</v>
      </c>
      <c r="H563" s="18">
        <v>116.72</v>
      </c>
      <c r="I563" s="18">
        <v>81.7</v>
      </c>
      <c r="J563" s="18"/>
      <c r="K563" s="18"/>
      <c r="L563" s="88">
        <f>SUM(F563:K563)</f>
        <v>39117.35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68257.759999999995</v>
      </c>
      <c r="G564" s="18">
        <v>12507.27</v>
      </c>
      <c r="H564" s="18">
        <v>242.2</v>
      </c>
      <c r="I564" s="18">
        <v>169.55</v>
      </c>
      <c r="J564" s="18"/>
      <c r="K564" s="18"/>
      <c r="L564" s="88">
        <f>SUM(F564:K564)</f>
        <v>81176.78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168545.56</v>
      </c>
      <c r="G565" s="89">
        <f t="shared" si="44"/>
        <v>30547.37</v>
      </c>
      <c r="H565" s="89">
        <f t="shared" si="44"/>
        <v>585.01</v>
      </c>
      <c r="I565" s="89">
        <f t="shared" si="44"/>
        <v>497.52000000000004</v>
      </c>
      <c r="J565" s="89">
        <f t="shared" si="44"/>
        <v>0</v>
      </c>
      <c r="K565" s="89">
        <f t="shared" si="44"/>
        <v>0</v>
      </c>
      <c r="L565" s="89">
        <f t="shared" si="44"/>
        <v>200175.46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32038.71</v>
      </c>
      <c r="G567" s="18">
        <v>2718.57</v>
      </c>
      <c r="H567" s="18">
        <v>107387.2</v>
      </c>
      <c r="I567" s="18">
        <v>4517.0600000000004</v>
      </c>
      <c r="J567" s="18"/>
      <c r="K567" s="18"/>
      <c r="L567" s="88">
        <f>SUM(F567:K567)</f>
        <v>146661.53999999998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1655</v>
      </c>
      <c r="G568" s="18">
        <v>126.61</v>
      </c>
      <c r="H568" s="18">
        <v>1681</v>
      </c>
      <c r="I568" s="18">
        <v>2074.52</v>
      </c>
      <c r="J568" s="18"/>
      <c r="K568" s="18"/>
      <c r="L568" s="88">
        <f>SUM(F568:K568)</f>
        <v>5537.1299999999992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73527.39</v>
      </c>
      <c r="G569" s="18">
        <v>5660.86</v>
      </c>
      <c r="H569" s="18">
        <v>23542.73</v>
      </c>
      <c r="I569" s="18">
        <v>18573.95</v>
      </c>
      <c r="J569" s="18"/>
      <c r="K569" s="18"/>
      <c r="L569" s="88">
        <f>SUM(F569:K569)</f>
        <v>121304.93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107221.1</v>
      </c>
      <c r="G570" s="193">
        <f t="shared" ref="G570:L570" si="45">SUM(G567:G569)</f>
        <v>8506.0400000000009</v>
      </c>
      <c r="H570" s="193">
        <f t="shared" si="45"/>
        <v>132610.93</v>
      </c>
      <c r="I570" s="193">
        <f t="shared" si="45"/>
        <v>25165.53</v>
      </c>
      <c r="J570" s="193">
        <f t="shared" si="45"/>
        <v>0</v>
      </c>
      <c r="K570" s="193">
        <f t="shared" si="45"/>
        <v>0</v>
      </c>
      <c r="L570" s="193">
        <f t="shared" si="45"/>
        <v>273503.59999999998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1376412.58</v>
      </c>
      <c r="G571" s="89">
        <f t="shared" ref="G571:L571" si="46">G560+G565+G570</f>
        <v>458387.19999999995</v>
      </c>
      <c r="H571" s="89">
        <f t="shared" si="46"/>
        <v>221338.72999999998</v>
      </c>
      <c r="I571" s="89">
        <f t="shared" si="46"/>
        <v>59253.02</v>
      </c>
      <c r="J571" s="89">
        <f t="shared" si="46"/>
        <v>0</v>
      </c>
      <c r="K571" s="89">
        <f t="shared" si="46"/>
        <v>75</v>
      </c>
      <c r="L571" s="89">
        <f t="shared" si="46"/>
        <v>2115466.5299999998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127271.25</v>
      </c>
      <c r="I575" s="87">
        <f>SUM(F575:H575)</f>
        <v>127271.25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5000</v>
      </c>
      <c r="I576" s="87">
        <f t="shared" ref="I576:I587" si="47">SUM(F576:H576)</f>
        <v>5000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166713.18</v>
      </c>
      <c r="G582" s="18">
        <v>4795.3999999999996</v>
      </c>
      <c r="H582" s="18">
        <v>457375.64</v>
      </c>
      <c r="I582" s="87">
        <f t="shared" si="47"/>
        <v>628884.22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266474.25</v>
      </c>
      <c r="I591" s="18">
        <v>137559.16</v>
      </c>
      <c r="J591" s="18">
        <v>285464.40999999997</v>
      </c>
      <c r="K591" s="104">
        <f t="shared" ref="K591:K597" si="48">SUM(H591:J591)</f>
        <v>689497.82000000007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74792</v>
      </c>
      <c r="I592" s="18">
        <v>7686.9</v>
      </c>
      <c r="J592" s="18">
        <v>24956.1</v>
      </c>
      <c r="K592" s="104">
        <f t="shared" si="48"/>
        <v>107435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133.80000000000001</v>
      </c>
      <c r="I594" s="18">
        <v>13694.94</v>
      </c>
      <c r="J594" s="18">
        <v>67059.960000000006</v>
      </c>
      <c r="K594" s="104">
        <f t="shared" si="48"/>
        <v>80888.700000000012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32127.33</v>
      </c>
      <c r="I595" s="18">
        <v>18257.88</v>
      </c>
      <c r="J595" s="18">
        <v>14314.35</v>
      </c>
      <c r="K595" s="104">
        <f t="shared" si="48"/>
        <v>64699.560000000005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373527.38</v>
      </c>
      <c r="I598" s="108">
        <f>SUM(I591:I597)</f>
        <v>177198.88</v>
      </c>
      <c r="J598" s="108">
        <f>SUM(J591:J597)</f>
        <v>391794.81999999995</v>
      </c>
      <c r="K598" s="108">
        <f>SUM(K591:K597)</f>
        <v>942521.08000000007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18502.310000000001</v>
      </c>
      <c r="I603" s="18"/>
      <c r="J603" s="18"/>
      <c r="K603" s="104">
        <f>SUM(H603:J603)</f>
        <v>18502.310000000001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113342.12</v>
      </c>
      <c r="I604" s="18">
        <v>66734.47</v>
      </c>
      <c r="J604" s="18">
        <v>173036.17</v>
      </c>
      <c r="K604" s="104">
        <f>SUM(H604:J604)</f>
        <v>353112.76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131844.43</v>
      </c>
      <c r="I605" s="108">
        <f>SUM(I602:I604)</f>
        <v>66734.47</v>
      </c>
      <c r="J605" s="108">
        <f>SUM(J602:J604)</f>
        <v>173036.17</v>
      </c>
      <c r="K605" s="108">
        <f>SUM(K602:K604)</f>
        <v>371615.07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13332.5</v>
      </c>
      <c r="G611" s="18">
        <v>2359.91</v>
      </c>
      <c r="H611" s="18">
        <v>683.91</v>
      </c>
      <c r="I611" s="18">
        <v>4687.76</v>
      </c>
      <c r="J611" s="18"/>
      <c r="K611" s="18"/>
      <c r="L611" s="88">
        <f>SUM(F611:K611)</f>
        <v>21064.080000000002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5719.13</v>
      </c>
      <c r="G612" s="18">
        <v>639.05999999999995</v>
      </c>
      <c r="H612" s="18"/>
      <c r="I612" s="18"/>
      <c r="J612" s="18"/>
      <c r="K612" s="18"/>
      <c r="L612" s="88">
        <f>SUM(F612:K612)</f>
        <v>6358.1900000000005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6014</v>
      </c>
      <c r="G613" s="18">
        <v>2485.09</v>
      </c>
      <c r="H613" s="18"/>
      <c r="I613" s="18"/>
      <c r="J613" s="18"/>
      <c r="K613" s="18"/>
      <c r="L613" s="88">
        <f>SUM(F613:K613)</f>
        <v>8499.09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25065.63</v>
      </c>
      <c r="G614" s="108">
        <f t="shared" si="49"/>
        <v>5484.0599999999995</v>
      </c>
      <c r="H614" s="108">
        <f t="shared" si="49"/>
        <v>683.91</v>
      </c>
      <c r="I614" s="108">
        <f t="shared" si="49"/>
        <v>4687.76</v>
      </c>
      <c r="J614" s="108">
        <f t="shared" si="49"/>
        <v>0</v>
      </c>
      <c r="K614" s="108">
        <f t="shared" si="49"/>
        <v>0</v>
      </c>
      <c r="L614" s="89">
        <f t="shared" si="49"/>
        <v>35921.360000000001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91990.399999999994</v>
      </c>
      <c r="H618" s="109">
        <f>SUM(G52)</f>
        <v>91990.399999999994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1384635.5899999999</v>
      </c>
      <c r="H619" s="109">
        <f>SUM(H52)</f>
        <v>1384635.59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5318961.24</v>
      </c>
      <c r="H621" s="109">
        <f>SUM(J52)</f>
        <v>5318961.24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-397.58</v>
      </c>
      <c r="H623" s="109">
        <f>G476</f>
        <v>-397.58000000007451</v>
      </c>
      <c r="I623" s="121" t="s">
        <v>102</v>
      </c>
      <c r="J623" s="109">
        <f t="shared" si="50"/>
        <v>7.4521722126519307E-11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589523.27</v>
      </c>
      <c r="H624" s="109">
        <f>H476</f>
        <v>589523.27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5318961.24</v>
      </c>
      <c r="H626" s="109">
        <f>J476</f>
        <v>5318961.24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43382021.269999996</v>
      </c>
      <c r="H627" s="104">
        <f>SUM(F468)</f>
        <v>43382021.270000003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901973.1</v>
      </c>
      <c r="H628" s="104">
        <f>SUM(G468)</f>
        <v>901973.1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4176992.9000000004</v>
      </c>
      <c r="H629" s="104">
        <f>SUM(H468)</f>
        <v>4176992.9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232627.34</v>
      </c>
      <c r="H631" s="104">
        <f>SUM(J468)</f>
        <v>232627.34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43382021.270000003</v>
      </c>
      <c r="H632" s="104">
        <f>SUM(F472)</f>
        <v>43382021.270000003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4185791.5999999996</v>
      </c>
      <c r="H633" s="104">
        <f>SUM(H472)</f>
        <v>4185791.6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397652.57999999996</v>
      </c>
      <c r="H634" s="104">
        <f>I369</f>
        <v>397652.57999999996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904996.66999999993</v>
      </c>
      <c r="H635" s="104">
        <f>SUM(G472)</f>
        <v>904996.67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232627.34</v>
      </c>
      <c r="H637" s="164">
        <f>SUM(J468)</f>
        <v>232627.34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127405.83</v>
      </c>
      <c r="H638" s="164">
        <f>SUM(J472)</f>
        <v>127405.83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5318961.24</v>
      </c>
      <c r="H641" s="104">
        <f>SUM(H461)</f>
        <v>5318961.24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5318961.24</v>
      </c>
      <c r="H642" s="104">
        <f>SUM(I461)</f>
        <v>5318961.24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114500.29</v>
      </c>
      <c r="H644" s="104">
        <f>H408</f>
        <v>114500.29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232627.34</v>
      </c>
      <c r="H646" s="104">
        <f>L408</f>
        <v>232627.34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942521.08000000007</v>
      </c>
      <c r="H647" s="104">
        <f>L208+L226+L244</f>
        <v>942521.08000000007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371615.07</v>
      </c>
      <c r="H648" s="104">
        <f>(J257+J338)-(J255+J336)</f>
        <v>371615.06999999995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373527.38</v>
      </c>
      <c r="H649" s="104">
        <f>H598</f>
        <v>373527.38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177198.88</v>
      </c>
      <c r="H650" s="104">
        <f>I598</f>
        <v>177198.88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391794.82</v>
      </c>
      <c r="H651" s="104">
        <f>J598</f>
        <v>391794.81999999995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104812.6</v>
      </c>
      <c r="H652" s="104">
        <f>K263+K345</f>
        <v>104812.6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777800</v>
      </c>
      <c r="H653" s="104">
        <f>K264</f>
        <v>777800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18396646.969999999</v>
      </c>
      <c r="G660" s="19">
        <f>(L229+L309+L359)</f>
        <v>9469631.4500000011</v>
      </c>
      <c r="H660" s="19">
        <f>(L247+L328+L360)</f>
        <v>19723918.52</v>
      </c>
      <c r="I660" s="19">
        <f>SUM(F660:H660)</f>
        <v>47590196.939999998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168426.86971041691</v>
      </c>
      <c r="G661" s="19">
        <f>(L359/IF(SUM(L358:L360)=0,1,SUM(L358:L360))*(SUM(G97:G110)))</f>
        <v>109465.48399879526</v>
      </c>
      <c r="H661" s="19">
        <f>(L360/IF(SUM(L358:L360)=0,1,SUM(L358:L360))*(SUM(G97:G110)))</f>
        <v>183111.80629078782</v>
      </c>
      <c r="I661" s="19">
        <f>SUM(F661:H661)</f>
        <v>461004.16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389648.63</v>
      </c>
      <c r="G662" s="19">
        <f>(L226+L306)-(J226+J306)</f>
        <v>179197.63</v>
      </c>
      <c r="H662" s="19">
        <f>(L244+L325)-(J244+J325)</f>
        <v>396054.78</v>
      </c>
      <c r="I662" s="19">
        <f>SUM(F662:H662)</f>
        <v>964901.04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319621.69</v>
      </c>
      <c r="G663" s="199">
        <f>SUM(G575:G587)+SUM(I602:I604)+L612</f>
        <v>77888.06</v>
      </c>
      <c r="H663" s="199">
        <f>SUM(H575:H587)+SUM(J602:J604)+L613</f>
        <v>771182.15</v>
      </c>
      <c r="I663" s="19">
        <f>SUM(F663:H663)</f>
        <v>1168691.8999999999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17518949.780289583</v>
      </c>
      <c r="G664" s="19">
        <f>G660-SUM(G661:G663)</f>
        <v>9103080.2760012057</v>
      </c>
      <c r="H664" s="19">
        <f>H660-SUM(H661:H663)</f>
        <v>18373569.783709213</v>
      </c>
      <c r="I664" s="19">
        <f>I660-SUM(I661:I663)</f>
        <v>44995599.839999996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1014.53</v>
      </c>
      <c r="G665" s="248">
        <v>523.72</v>
      </c>
      <c r="H665" s="248">
        <v>1086.83</v>
      </c>
      <c r="I665" s="19">
        <f>SUM(F665:H665)</f>
        <v>2625.08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17268.05</v>
      </c>
      <c r="G667" s="19">
        <f>ROUND(G664/G665,2)</f>
        <v>17381.580000000002</v>
      </c>
      <c r="H667" s="19">
        <f>ROUND(H664/H665,2)</f>
        <v>16905.650000000001</v>
      </c>
      <c r="I667" s="19">
        <f>ROUND(I664/I665,2)</f>
        <v>17140.66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-0.06</v>
      </c>
      <c r="I670" s="19">
        <f>SUM(F670:H670)</f>
        <v>-0.06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17268.05</v>
      </c>
      <c r="G672" s="19">
        <f>ROUND((G664+G669)/(G665+G670),2)</f>
        <v>17381.580000000002</v>
      </c>
      <c r="H672" s="19">
        <f>ROUND((H664+H669)/(H665+H670),2)</f>
        <v>16906.59</v>
      </c>
      <c r="I672" s="19">
        <f>ROUND((I664+I669)/(I665+I670),2)</f>
        <v>17141.05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Portsmouth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13217305.479999999</v>
      </c>
      <c r="C9" s="229">
        <f>'DOE25'!G197+'DOE25'!G215+'DOE25'!G233+'DOE25'!G276+'DOE25'!G295+'DOE25'!G314</f>
        <v>6817805.1799999997</v>
      </c>
    </row>
    <row r="10" spans="1:3" x14ac:dyDescent="0.2">
      <c r="A10" t="s">
        <v>779</v>
      </c>
      <c r="B10" s="240">
        <v>12282234.560000001</v>
      </c>
      <c r="C10" s="240">
        <v>6568662</v>
      </c>
    </row>
    <row r="11" spans="1:3" x14ac:dyDescent="0.2">
      <c r="A11" t="s">
        <v>780</v>
      </c>
      <c r="B11" s="240">
        <v>477341.7</v>
      </c>
      <c r="C11" s="240">
        <v>194126.89</v>
      </c>
    </row>
    <row r="12" spans="1:3" x14ac:dyDescent="0.2">
      <c r="A12" t="s">
        <v>781</v>
      </c>
      <c r="B12" s="240">
        <v>457729.22</v>
      </c>
      <c r="C12" s="240">
        <v>55016.29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13217305.48</v>
      </c>
      <c r="C13" s="231">
        <f>SUM(C10:C12)</f>
        <v>6817805.1799999997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4696419.78</v>
      </c>
      <c r="C18" s="229">
        <f>'DOE25'!G198+'DOE25'!G216+'DOE25'!G234+'DOE25'!G277+'DOE25'!G296+'DOE25'!G315</f>
        <v>1659162.3</v>
      </c>
    </row>
    <row r="19" spans="1:3" x14ac:dyDescent="0.2">
      <c r="A19" t="s">
        <v>779</v>
      </c>
      <c r="B19" s="240">
        <v>3059183.34</v>
      </c>
      <c r="C19" s="240">
        <v>1163806.5</v>
      </c>
    </row>
    <row r="20" spans="1:3" x14ac:dyDescent="0.2">
      <c r="A20" t="s">
        <v>780</v>
      </c>
      <c r="B20" s="240">
        <v>1578457.25</v>
      </c>
      <c r="C20" s="240">
        <v>490859.19</v>
      </c>
    </row>
    <row r="21" spans="1:3" x14ac:dyDescent="0.2">
      <c r="A21" t="s">
        <v>781</v>
      </c>
      <c r="B21" s="240">
        <v>58779.19</v>
      </c>
      <c r="C21" s="240">
        <v>4496.6099999999997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4696419.78</v>
      </c>
      <c r="C22" s="231">
        <f>SUM(C19:C21)</f>
        <v>1659162.3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794522.3</v>
      </c>
      <c r="C27" s="234">
        <f>'DOE25'!G199+'DOE25'!G217+'DOE25'!G235+'DOE25'!G278+'DOE25'!G297+'DOE25'!G316</f>
        <v>431175.73</v>
      </c>
    </row>
    <row r="28" spans="1:3" x14ac:dyDescent="0.2">
      <c r="A28" t="s">
        <v>779</v>
      </c>
      <c r="B28" s="240">
        <v>794522.3</v>
      </c>
      <c r="C28" s="240">
        <v>431175.73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794522.3</v>
      </c>
      <c r="C31" s="231">
        <f>SUM(C28:C30)</f>
        <v>431175.73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409895.21</v>
      </c>
      <c r="C36" s="235">
        <f>'DOE25'!G200+'DOE25'!G218+'DOE25'!G236+'DOE25'!G279+'DOE25'!G298+'DOE25'!G317</f>
        <v>65361.030000000006</v>
      </c>
    </row>
    <row r="37" spans="1:3" x14ac:dyDescent="0.2">
      <c r="A37" t="s">
        <v>779</v>
      </c>
      <c r="B37" s="240">
        <v>328331.15999999997</v>
      </c>
      <c r="C37" s="240">
        <v>55687.92</v>
      </c>
    </row>
    <row r="38" spans="1:3" x14ac:dyDescent="0.2">
      <c r="A38" t="s">
        <v>780</v>
      </c>
      <c r="B38" s="240">
        <v>4598.13</v>
      </c>
      <c r="C38" s="240">
        <v>2785.22</v>
      </c>
    </row>
    <row r="39" spans="1:3" x14ac:dyDescent="0.2">
      <c r="A39" t="s">
        <v>781</v>
      </c>
      <c r="B39" s="240">
        <v>76965.919999999998</v>
      </c>
      <c r="C39" s="240">
        <v>6887.89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409895.20999999996</v>
      </c>
      <c r="C40" s="231">
        <f>SUM(C37:C39)</f>
        <v>65361.03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Portsmouth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26692112.5</v>
      </c>
      <c r="D5" s="20">
        <f>SUM('DOE25'!L197:L200)+SUM('DOE25'!L215:L218)+SUM('DOE25'!L233:L236)-F5-G5</f>
        <v>26628434.370000001</v>
      </c>
      <c r="E5" s="243"/>
      <c r="F5" s="255">
        <f>SUM('DOE25'!J197:J200)+SUM('DOE25'!J215:J218)+SUM('DOE25'!J233:J236)</f>
        <v>60413.13</v>
      </c>
      <c r="G5" s="53">
        <f>SUM('DOE25'!K197:K200)+SUM('DOE25'!K215:K218)+SUM('DOE25'!K233:K236)</f>
        <v>3265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4986683.9400000004</v>
      </c>
      <c r="D6" s="20">
        <f>'DOE25'!L202+'DOE25'!L220+'DOE25'!L238-F6-G6</f>
        <v>4966780.0200000005</v>
      </c>
      <c r="E6" s="243"/>
      <c r="F6" s="255">
        <f>'DOE25'!J202+'DOE25'!J220+'DOE25'!J238</f>
        <v>4346.92</v>
      </c>
      <c r="G6" s="53">
        <f>'DOE25'!K202+'DOE25'!K220+'DOE25'!K238</f>
        <v>15557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894345.07000000007</v>
      </c>
      <c r="D7" s="20">
        <f>'DOE25'!L203+'DOE25'!L221+'DOE25'!L239-F7-G7</f>
        <v>779196.65</v>
      </c>
      <c r="E7" s="243"/>
      <c r="F7" s="255">
        <f>'DOE25'!J203+'DOE25'!J221+'DOE25'!J239</f>
        <v>115148.42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885707.27</v>
      </c>
      <c r="D8" s="243"/>
      <c r="E8" s="20">
        <f>'DOE25'!L204+'DOE25'!L222+'DOE25'!L240-F8-G8-D9-D11</f>
        <v>830351.77</v>
      </c>
      <c r="F8" s="255">
        <f>'DOE25'!J204+'DOE25'!J222+'DOE25'!J240</f>
        <v>0</v>
      </c>
      <c r="G8" s="53">
        <f>'DOE25'!K204+'DOE25'!K222+'DOE25'!K240</f>
        <v>55355.5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15023.28</v>
      </c>
      <c r="D9" s="244">
        <v>15023.28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1500</v>
      </c>
      <c r="D10" s="243"/>
      <c r="E10" s="244">
        <v>1500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435779.29</v>
      </c>
      <c r="D11" s="244">
        <v>435779.29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2237768.1399999997</v>
      </c>
      <c r="D12" s="20">
        <f>'DOE25'!L205+'DOE25'!L223+'DOE25'!L241-F12-G12</f>
        <v>2233089.1499999994</v>
      </c>
      <c r="E12" s="243"/>
      <c r="F12" s="255">
        <f>'DOE25'!J205+'DOE25'!J223+'DOE25'!J241</f>
        <v>0</v>
      </c>
      <c r="G12" s="53">
        <f>'DOE25'!K205+'DOE25'!K223+'DOE25'!K241</f>
        <v>4678.99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608836.52</v>
      </c>
      <c r="D13" s="243"/>
      <c r="E13" s="20">
        <f>'DOE25'!L206+'DOE25'!L224+'DOE25'!L242-F13-G13</f>
        <v>604035.64</v>
      </c>
      <c r="F13" s="255">
        <f>'DOE25'!J206+'DOE25'!J224+'DOE25'!J242</f>
        <v>0</v>
      </c>
      <c r="G13" s="53">
        <f>'DOE25'!K206+'DOE25'!K224+'DOE25'!K242</f>
        <v>4800.88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3945849.4600000004</v>
      </c>
      <c r="D14" s="20">
        <f>'DOE25'!L207+'DOE25'!L225+'DOE25'!L243-F14-G14</f>
        <v>3847702.8900000006</v>
      </c>
      <c r="E14" s="243"/>
      <c r="F14" s="255">
        <f>'DOE25'!J207+'DOE25'!J225+'DOE25'!J243</f>
        <v>88259</v>
      </c>
      <c r="G14" s="53">
        <f>'DOE25'!K207+'DOE25'!K225+'DOE25'!K243</f>
        <v>9887.57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942521.08000000007</v>
      </c>
      <c r="D15" s="20">
        <f>'DOE25'!L208+'DOE25'!L226+'DOE25'!L244-F15-G15</f>
        <v>942521.08000000007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854782.12</v>
      </c>
      <c r="D16" s="243"/>
      <c r="E16" s="20">
        <f>'DOE25'!L209+'DOE25'!L227+'DOE25'!L245-F16-G16</f>
        <v>852782.12</v>
      </c>
      <c r="F16" s="255">
        <f>'DOE25'!J209+'DOE25'!J227+'DOE25'!J245</f>
        <v>0</v>
      </c>
      <c r="G16" s="53">
        <f>'DOE25'!K209+'DOE25'!K227+'DOE25'!K245</f>
        <v>2000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545694.32999999996</v>
      </c>
      <c r="D29" s="20">
        <f>'DOE25'!L358+'DOE25'!L359+'DOE25'!L360-'DOE25'!I367-F29-G29</f>
        <v>542820.29999999993</v>
      </c>
      <c r="E29" s="243"/>
      <c r="F29" s="255">
        <f>'DOE25'!J358+'DOE25'!J359+'DOE25'!J360</f>
        <v>1340.06</v>
      </c>
      <c r="G29" s="53">
        <f>'DOE25'!K358+'DOE25'!K359+'DOE25'!K360</f>
        <v>1533.97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4185791.5999999996</v>
      </c>
      <c r="D31" s="20">
        <f>'DOE25'!L290+'DOE25'!L309+'DOE25'!L328+'DOE25'!L333+'DOE25'!L334+'DOE25'!L335-F31-G31</f>
        <v>4079082.1699999995</v>
      </c>
      <c r="E31" s="243"/>
      <c r="F31" s="255">
        <f>'DOE25'!J290+'DOE25'!J309+'DOE25'!J328+'DOE25'!J333+'DOE25'!J334+'DOE25'!J335</f>
        <v>103447.6</v>
      </c>
      <c r="G31" s="53">
        <f>'DOE25'!K290+'DOE25'!K309+'DOE25'!K328+'DOE25'!K333+'DOE25'!K334+'DOE25'!K335</f>
        <v>3261.83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44470429.199999996</v>
      </c>
      <c r="E33" s="246">
        <f>SUM(E5:E31)</f>
        <v>2288669.5300000003</v>
      </c>
      <c r="F33" s="246">
        <f>SUM(F5:F31)</f>
        <v>372955.13</v>
      </c>
      <c r="G33" s="246">
        <f>SUM(G5:G31)</f>
        <v>100340.74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2288669.5300000003</v>
      </c>
      <c r="E35" s="249"/>
    </row>
    <row r="36" spans="2:8" ht="12" thickTop="1" x14ac:dyDescent="0.2">
      <c r="B36" t="s">
        <v>815</v>
      </c>
      <c r="D36" s="20">
        <f>D33</f>
        <v>44470429.199999996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57" activePane="bottomLeft" state="frozen"/>
      <selection activeCell="F46" sqref="F46"/>
      <selection pane="bottomLeft" activeCell="D29" sqref="D2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1437.4</v>
      </c>
      <c r="E8" s="95">
        <f>'DOE25'!H9</f>
        <v>0</v>
      </c>
      <c r="F8" s="95">
        <f>'DOE25'!I9</f>
        <v>0</v>
      </c>
      <c r="G8" s="95">
        <f>'DOE25'!J9</f>
        <v>78982.05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17469.669999999998</v>
      </c>
      <c r="E11" s="95">
        <f>'DOE25'!H12</f>
        <v>589523.27</v>
      </c>
      <c r="F11" s="95">
        <f>'DOE25'!I12</f>
        <v>0</v>
      </c>
      <c r="G11" s="95">
        <f>'DOE25'!J12</f>
        <v>5239979.1900000004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44473.23</v>
      </c>
      <c r="E12" s="95">
        <f>'DOE25'!H13</f>
        <v>795112.32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28610.1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'DOE25'!G30</f>
        <v>38699.379999999997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130689.78</v>
      </c>
      <c r="E18" s="41">
        <f>SUM(E8:E17)</f>
        <v>1384635.5899999999</v>
      </c>
      <c r="F18" s="41">
        <f>SUM(F8:F17)</f>
        <v>0</v>
      </c>
      <c r="G18" s="41">
        <f>SUM(G8:G17)</f>
        <v>5318961.24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790395.41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4716.91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38699.379999999997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53688.6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92387.98</v>
      </c>
      <c r="E31" s="41">
        <f>SUM(E21:E30)</f>
        <v>795112.32000000007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5193725.87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125235.37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-397.58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589523.27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-397.58</v>
      </c>
      <c r="E50" s="41">
        <f>SUM(E34:E49)</f>
        <v>589523.27</v>
      </c>
      <c r="F50" s="41">
        <f>SUM(F34:F49)</f>
        <v>0</v>
      </c>
      <c r="G50" s="41">
        <f>SUM(G34:G49)</f>
        <v>5318961.24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91990.399999999994</v>
      </c>
      <c r="E51" s="41">
        <f>E50+E31</f>
        <v>1384635.59</v>
      </c>
      <c r="F51" s="41">
        <f>F50+F31</f>
        <v>0</v>
      </c>
      <c r="G51" s="41">
        <f>G50+G31</f>
        <v>5318961.24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24594460.629999999</v>
      </c>
      <c r="D56" s="95">
        <f>'DOE25'!G60</f>
        <v>0</v>
      </c>
      <c r="E56" s="95">
        <f>'DOE25'!H60</f>
        <v>220958.38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6252396.1600000001</v>
      </c>
      <c r="D57" s="24" t="s">
        <v>289</v>
      </c>
      <c r="E57" s="95">
        <f>'DOE25'!H79</f>
        <v>850078.03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114500.29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461004.16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13079.95</v>
      </c>
      <c r="D61" s="95">
        <f>SUM('DOE25'!G98:G110)</f>
        <v>0</v>
      </c>
      <c r="E61" s="95">
        <f>SUM('DOE25'!H98:H110)</f>
        <v>172613.93</v>
      </c>
      <c r="F61" s="95">
        <f>SUM('DOE25'!I98:I110)</f>
        <v>0</v>
      </c>
      <c r="G61" s="95">
        <f>SUM('DOE25'!J98:J110)</f>
        <v>118127.05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6265476.1100000003</v>
      </c>
      <c r="D62" s="130">
        <f>SUM(D57:D61)</f>
        <v>461004.16</v>
      </c>
      <c r="E62" s="130">
        <f>SUM(E57:E61)</f>
        <v>1022691.96</v>
      </c>
      <c r="F62" s="130">
        <f>SUM(F57:F61)</f>
        <v>0</v>
      </c>
      <c r="G62" s="130">
        <f>SUM(G57:G61)</f>
        <v>232627.34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30859936.739999998</v>
      </c>
      <c r="D63" s="22">
        <f>D56+D62</f>
        <v>461004.16</v>
      </c>
      <c r="E63" s="22">
        <f>E56+E62</f>
        <v>1243650.3399999999</v>
      </c>
      <c r="F63" s="22">
        <f>F56+F62</f>
        <v>0</v>
      </c>
      <c r="G63" s="22">
        <f>G56+G62</f>
        <v>232627.34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10484350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10484350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1816776.15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220958.38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8167.32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2037734.5299999998</v>
      </c>
      <c r="D78" s="130">
        <f>SUM(D72:D77)</f>
        <v>8167.32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12522084.529999999</v>
      </c>
      <c r="D81" s="130">
        <f>SUM(D79:D80)+D78+D70</f>
        <v>8167.32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27072.39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327989.02</v>
      </c>
      <c r="E88" s="95">
        <f>SUM('DOE25'!H153:H161)</f>
        <v>2128470.17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327989.02</v>
      </c>
      <c r="E91" s="131">
        <f>SUM(E85:E90)</f>
        <v>2155542.56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104812.6</v>
      </c>
      <c r="E96" s="95">
        <f>'DOE25'!H179</f>
        <v>777800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104812.6</v>
      </c>
      <c r="E103" s="86">
        <f>SUM(E93:E102)</f>
        <v>777800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43382021.269999996</v>
      </c>
      <c r="D104" s="86">
        <f>D63+D81+D91+D103</f>
        <v>901973.1</v>
      </c>
      <c r="E104" s="86">
        <f>E63+E81+E91+E103</f>
        <v>4176992.9</v>
      </c>
      <c r="F104" s="86">
        <f>F63+F81+F91+F103</f>
        <v>0</v>
      </c>
      <c r="G104" s="86">
        <f>G63+G81+G103</f>
        <v>232627.34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20015145.329999998</v>
      </c>
      <c r="D109" s="24" t="s">
        <v>289</v>
      </c>
      <c r="E109" s="95">
        <f>('DOE25'!L276)+('DOE25'!L295)+('DOE25'!L314)</f>
        <v>571464.79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4789159.91</v>
      </c>
      <c r="D110" s="24" t="s">
        <v>289</v>
      </c>
      <c r="E110" s="95">
        <f>('DOE25'!L277)+('DOE25'!L296)+('DOE25'!L315)</f>
        <v>2603360.17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1251165.99</v>
      </c>
      <c r="D111" s="24" t="s">
        <v>289</v>
      </c>
      <c r="E111" s="95">
        <f>('DOE25'!L278)+('DOE25'!L297)+('DOE25'!L316)</f>
        <v>87892.029999999984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636641.27</v>
      </c>
      <c r="D112" s="24" t="s">
        <v>289</v>
      </c>
      <c r="E112" s="95">
        <f>+('DOE25'!L279)+('DOE25'!L298)+('DOE25'!L317)</f>
        <v>159929.47999999998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26692112.499999996</v>
      </c>
      <c r="D115" s="86">
        <f>SUM(D109:D114)</f>
        <v>0</v>
      </c>
      <c r="E115" s="86">
        <f>SUM(E109:E114)</f>
        <v>3422646.4699999997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4986683.9400000004</v>
      </c>
      <c r="D118" s="24" t="s">
        <v>289</v>
      </c>
      <c r="E118" s="95">
        <f>+('DOE25'!L281)+('DOE25'!L300)+('DOE25'!L319)</f>
        <v>158882.26999999999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894345.07000000007</v>
      </c>
      <c r="D119" s="24" t="s">
        <v>289</v>
      </c>
      <c r="E119" s="95">
        <f>+('DOE25'!L282)+('DOE25'!L301)+('DOE25'!L320)</f>
        <v>149085.71000000002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1336509.8400000001</v>
      </c>
      <c r="D120" s="24" t="s">
        <v>289</v>
      </c>
      <c r="E120" s="95">
        <f>+('DOE25'!L283)+('DOE25'!L302)+('DOE25'!L321)</f>
        <v>148458.16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2237768.1399999997</v>
      </c>
      <c r="D121" s="24" t="s">
        <v>289</v>
      </c>
      <c r="E121" s="95">
        <f>+('DOE25'!L284)+('DOE25'!L303)+('DOE25'!L322)</f>
        <v>123670.79000000001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608836.52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3945849.4600000004</v>
      </c>
      <c r="D123" s="24" t="s">
        <v>289</v>
      </c>
      <c r="E123" s="95">
        <f>+('DOE25'!L286)+('DOE25'!L305)+('DOE25'!L324)</f>
        <v>160668.24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942521.08000000007</v>
      </c>
      <c r="D124" s="24" t="s">
        <v>289</v>
      </c>
      <c r="E124" s="95">
        <f>+('DOE25'!L287)+('DOE25'!L306)+('DOE25'!L325)</f>
        <v>22379.96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854782.12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904996.66999999993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15807296.17</v>
      </c>
      <c r="D128" s="86">
        <f>SUM(D118:D127)</f>
        <v>904996.66999999993</v>
      </c>
      <c r="E128" s="86">
        <f>SUM(E118:E127)</f>
        <v>763145.13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17380.830000000002</v>
      </c>
    </row>
    <row r="135" spans="1:7" x14ac:dyDescent="0.2">
      <c r="A135" t="s">
        <v>233</v>
      </c>
      <c r="B135" s="32" t="s">
        <v>234</v>
      </c>
      <c r="C135" s="95">
        <f>'DOE25'!L263</f>
        <v>104812.6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777800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232627.34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-232627.34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882612.6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17380.830000000002</v>
      </c>
    </row>
    <row r="145" spans="1:9" ht="12.75" thickTop="1" thickBot="1" x14ac:dyDescent="0.25">
      <c r="A145" s="33" t="s">
        <v>244</v>
      </c>
      <c r="C145" s="86">
        <f>(C115+C128+C144)</f>
        <v>43382021.269999996</v>
      </c>
      <c r="D145" s="86">
        <f>(D115+D128+D144)</f>
        <v>904996.66999999993</v>
      </c>
      <c r="E145" s="86">
        <f>(E115+E128+E144)</f>
        <v>4185791.5999999996</v>
      </c>
      <c r="F145" s="86">
        <f>(F115+F128+F144)</f>
        <v>0</v>
      </c>
      <c r="G145" s="86">
        <f>(G115+G128+G144)</f>
        <v>17380.830000000002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Portsmouth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17268</v>
      </c>
    </row>
    <row r="5" spans="1:4" x14ac:dyDescent="0.2">
      <c r="B5" t="s">
        <v>704</v>
      </c>
      <c r="C5" s="179">
        <f>IF('DOE25'!G665+'DOE25'!G670=0,0,ROUND('DOE25'!G672,0))</f>
        <v>17382</v>
      </c>
    </row>
    <row r="6" spans="1:4" x14ac:dyDescent="0.2">
      <c r="B6" t="s">
        <v>62</v>
      </c>
      <c r="C6" s="179">
        <f>IF('DOE25'!H665+'DOE25'!H670=0,0,ROUND('DOE25'!H672,0))</f>
        <v>16907</v>
      </c>
    </row>
    <row r="7" spans="1:4" x14ac:dyDescent="0.2">
      <c r="B7" t="s">
        <v>705</v>
      </c>
      <c r="C7" s="179">
        <f>IF('DOE25'!I665+'DOE25'!I670=0,0,ROUND('DOE25'!I672,0))</f>
        <v>17141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20586610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7392520</v>
      </c>
      <c r="D11" s="182">
        <f>ROUND((C11/$C$28)*100,1)</f>
        <v>15.7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1339058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796571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5145566</v>
      </c>
      <c r="D15" s="182">
        <f t="shared" ref="D15:D27" si="0">ROUND((C15/$C$28)*100,1)</f>
        <v>10.9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1043431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2339750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2361439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608837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4106518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964901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443992.84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47129193.840000004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47129193.840000004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24815419</v>
      </c>
      <c r="D35" s="182">
        <f t="shared" ref="D35:D40" si="1">ROUND((C35/$C$41)*100,1)</f>
        <v>52.4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7520795.4199999981</v>
      </c>
      <c r="D36" s="182">
        <f t="shared" si="1"/>
        <v>15.9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10484350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2045902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2483532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47349998.420000002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Portsmouth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2016-09-29T13:39:57Z</cp:lastPrinted>
  <dcterms:created xsi:type="dcterms:W3CDTF">1997-12-04T19:04:30Z</dcterms:created>
  <dcterms:modified xsi:type="dcterms:W3CDTF">2016-12-01T18:47:14Z</dcterms:modified>
</cp:coreProperties>
</file>