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Notes'!$A$1:$N$75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46" i="1"/>
  <c r="F527" i="1" l="1"/>
  <c r="K521" i="1"/>
  <c r="G521" i="1"/>
  <c r="F521" i="1"/>
  <c r="G523" i="1"/>
  <c r="F523" i="1"/>
  <c r="G528" i="1"/>
  <c r="F528" i="1"/>
  <c r="G527" i="1"/>
  <c r="G526" i="1"/>
  <c r="F526" i="1"/>
  <c r="K523" i="1"/>
  <c r="K522" i="1"/>
  <c r="G522" i="1"/>
  <c r="F522" i="1"/>
  <c r="I528" i="1"/>
  <c r="I527" i="1"/>
  <c r="I526" i="1"/>
  <c r="H528" i="1"/>
  <c r="H527" i="1"/>
  <c r="H526" i="1"/>
  <c r="H595" i="1" l="1"/>
  <c r="J591" i="1"/>
  <c r="J593" i="1"/>
  <c r="J592" i="1"/>
  <c r="I592" i="1"/>
  <c r="H592" i="1"/>
  <c r="I253" i="1"/>
  <c r="K242" i="1"/>
  <c r="K224" i="1"/>
  <c r="K206" i="1"/>
  <c r="H245" i="1"/>
  <c r="H227" i="1"/>
  <c r="H209" i="1"/>
  <c r="H244" i="1"/>
  <c r="H226" i="1"/>
  <c r="H208" i="1"/>
  <c r="J243" i="1"/>
  <c r="I243" i="1"/>
  <c r="H243" i="1"/>
  <c r="G243" i="1"/>
  <c r="F243" i="1"/>
  <c r="J225" i="1"/>
  <c r="I225" i="1"/>
  <c r="H225" i="1"/>
  <c r="G225" i="1"/>
  <c r="F225" i="1"/>
  <c r="J207" i="1"/>
  <c r="I207" i="1"/>
  <c r="H207" i="1"/>
  <c r="G207" i="1"/>
  <c r="F207" i="1"/>
  <c r="H242" i="1"/>
  <c r="G242" i="1"/>
  <c r="F242" i="1"/>
  <c r="H224" i="1"/>
  <c r="G224" i="1"/>
  <c r="F224" i="1"/>
  <c r="H206" i="1"/>
  <c r="G206" i="1"/>
  <c r="F206" i="1"/>
  <c r="K240" i="1"/>
  <c r="I240" i="1"/>
  <c r="H240" i="1"/>
  <c r="G240" i="1"/>
  <c r="F240" i="1"/>
  <c r="K222" i="1"/>
  <c r="I222" i="1"/>
  <c r="H222" i="1"/>
  <c r="G222" i="1"/>
  <c r="F222" i="1"/>
  <c r="K204" i="1"/>
  <c r="I204" i="1"/>
  <c r="H204" i="1"/>
  <c r="G204" i="1"/>
  <c r="F204" i="1"/>
  <c r="J239" i="1"/>
  <c r="I239" i="1"/>
  <c r="H239" i="1"/>
  <c r="G239" i="1"/>
  <c r="F239" i="1"/>
  <c r="J221" i="1"/>
  <c r="I221" i="1"/>
  <c r="H221" i="1"/>
  <c r="G221" i="1"/>
  <c r="F221" i="1"/>
  <c r="J203" i="1"/>
  <c r="I203" i="1"/>
  <c r="H203" i="1"/>
  <c r="G203" i="1"/>
  <c r="F203" i="1"/>
  <c r="I238" i="1"/>
  <c r="H238" i="1"/>
  <c r="G238" i="1"/>
  <c r="F238" i="1"/>
  <c r="I220" i="1"/>
  <c r="H220" i="1"/>
  <c r="G220" i="1"/>
  <c r="F220" i="1"/>
  <c r="I202" i="1"/>
  <c r="H202" i="1"/>
  <c r="G202" i="1"/>
  <c r="F202" i="1"/>
  <c r="I218" i="1"/>
  <c r="H218" i="1"/>
  <c r="G218" i="1"/>
  <c r="I200" i="1"/>
  <c r="H200" i="1"/>
  <c r="G200" i="1"/>
  <c r="K234" i="1"/>
  <c r="J234" i="1"/>
  <c r="I234" i="1"/>
  <c r="H234" i="1"/>
  <c r="G234" i="1"/>
  <c r="F234" i="1"/>
  <c r="K216" i="1"/>
  <c r="J216" i="1"/>
  <c r="I216" i="1"/>
  <c r="H216" i="1"/>
  <c r="G216" i="1"/>
  <c r="F216" i="1"/>
  <c r="K198" i="1"/>
  <c r="J198" i="1"/>
  <c r="I198" i="1"/>
  <c r="H198" i="1"/>
  <c r="G198" i="1"/>
  <c r="F198" i="1"/>
  <c r="H233" i="1"/>
  <c r="G233" i="1"/>
  <c r="F233" i="1"/>
  <c r="H215" i="1"/>
  <c r="G215" i="1"/>
  <c r="F215" i="1"/>
  <c r="H197" i="1"/>
  <c r="G197" i="1"/>
  <c r="F197" i="1"/>
  <c r="J604" i="1" l="1"/>
  <c r="I604" i="1"/>
  <c r="H604" i="1"/>
  <c r="G612" i="1" l="1"/>
  <c r="F562" i="1" l="1"/>
  <c r="F563" i="1"/>
  <c r="J523" i="1"/>
  <c r="I523" i="1"/>
  <c r="H523" i="1"/>
  <c r="J522" i="1"/>
  <c r="I522" i="1"/>
  <c r="H522" i="1"/>
  <c r="J521" i="1"/>
  <c r="I521" i="1"/>
  <c r="H521" i="1"/>
  <c r="K533" i="1"/>
  <c r="K532" i="1"/>
  <c r="K531" i="1"/>
  <c r="H533" i="1"/>
  <c r="H532" i="1"/>
  <c r="H531" i="1"/>
  <c r="G533" i="1"/>
  <c r="G532" i="1"/>
  <c r="G531" i="1"/>
  <c r="F533" i="1"/>
  <c r="F532" i="1"/>
  <c r="F531" i="1"/>
  <c r="H538" i="1"/>
  <c r="H537" i="1"/>
  <c r="H536" i="1"/>
  <c r="H543" i="1"/>
  <c r="H542" i="1"/>
  <c r="H541" i="1"/>
  <c r="G564" i="1"/>
  <c r="G563" i="1"/>
  <c r="G562" i="1"/>
  <c r="F564" i="1"/>
  <c r="H325" i="1"/>
  <c r="H320" i="1"/>
  <c r="G320" i="1"/>
  <c r="F320" i="1"/>
  <c r="H301" i="1"/>
  <c r="G301" i="1"/>
  <c r="F301" i="1"/>
  <c r="H282" i="1"/>
  <c r="G282" i="1"/>
  <c r="F282" i="1"/>
  <c r="G319" i="1"/>
  <c r="F319" i="1"/>
  <c r="G300" i="1"/>
  <c r="F300" i="1"/>
  <c r="G281" i="1"/>
  <c r="F281" i="1"/>
  <c r="H298" i="1"/>
  <c r="G298" i="1"/>
  <c r="F298" i="1"/>
  <c r="H279" i="1"/>
  <c r="G279" i="1"/>
  <c r="F279" i="1"/>
  <c r="G315" i="1"/>
  <c r="F315" i="1"/>
  <c r="G296" i="1"/>
  <c r="F296" i="1"/>
  <c r="G277" i="1"/>
  <c r="F277" i="1"/>
  <c r="I314" i="1"/>
  <c r="H314" i="1"/>
  <c r="I295" i="1"/>
  <c r="H295" i="1"/>
  <c r="I276" i="1"/>
  <c r="H276" i="1"/>
  <c r="J324" i="1"/>
  <c r="I320" i="1"/>
  <c r="J314" i="1"/>
  <c r="G314" i="1"/>
  <c r="F314" i="1"/>
  <c r="I279" i="1"/>
  <c r="F295" i="1" l="1"/>
  <c r="J295" i="1"/>
  <c r="G295" i="1"/>
  <c r="J276" i="1"/>
  <c r="G276" i="1"/>
  <c r="F276" i="1"/>
  <c r="H155" i="1" l="1"/>
  <c r="H159" i="1"/>
  <c r="H154" i="1"/>
  <c r="G13" i="1"/>
  <c r="G9" i="1"/>
  <c r="K360" i="1"/>
  <c r="K359" i="1"/>
  <c r="K358" i="1"/>
  <c r="J360" i="1"/>
  <c r="J359" i="1"/>
  <c r="J358" i="1"/>
  <c r="I360" i="1"/>
  <c r="I359" i="1"/>
  <c r="I358" i="1"/>
  <c r="H360" i="1"/>
  <c r="H359" i="1"/>
  <c r="H358" i="1"/>
  <c r="G360" i="1"/>
  <c r="G359" i="1"/>
  <c r="G358" i="1"/>
  <c r="F360" i="1"/>
  <c r="F359" i="1"/>
  <c r="F358" i="1"/>
  <c r="H368" i="1"/>
  <c r="G368" i="1"/>
  <c r="F368" i="1"/>
  <c r="H367" i="1"/>
  <c r="G367" i="1"/>
  <c r="F367" i="1"/>
  <c r="K241" i="1" l="1"/>
  <c r="I241" i="1"/>
  <c r="H241" i="1"/>
  <c r="G241" i="1"/>
  <c r="F241" i="1"/>
  <c r="K223" i="1"/>
  <c r="I223" i="1"/>
  <c r="H223" i="1"/>
  <c r="G223" i="1"/>
  <c r="F223" i="1"/>
  <c r="K205" i="1"/>
  <c r="I205" i="1"/>
  <c r="H205" i="1"/>
  <c r="G205" i="1"/>
  <c r="F205" i="1"/>
  <c r="J220" i="1"/>
  <c r="F200" i="1"/>
  <c r="G236" i="1"/>
  <c r="K236" i="1"/>
  <c r="J236" i="1"/>
  <c r="I236" i="1"/>
  <c r="H236" i="1"/>
  <c r="F236" i="1"/>
  <c r="F218" i="1"/>
  <c r="H235" i="1"/>
  <c r="J215" i="1"/>
  <c r="K233" i="1"/>
  <c r="J233" i="1"/>
  <c r="I233" i="1"/>
  <c r="I215" i="1"/>
  <c r="J197" i="1"/>
  <c r="I197" i="1"/>
  <c r="F29" i="1" l="1"/>
  <c r="F28" i="1"/>
  <c r="F24" i="1"/>
  <c r="F9" i="1"/>
  <c r="G498" i="1" l="1"/>
  <c r="F49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G650" i="1" s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F661" i="1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E119" i="2" s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E85" i="2" s="1"/>
  <c r="H162" i="1"/>
  <c r="I147" i="1"/>
  <c r="I162" i="1"/>
  <c r="L250" i="1"/>
  <c r="L332" i="1"/>
  <c r="L254" i="1"/>
  <c r="L268" i="1"/>
  <c r="L269" i="1"/>
  <c r="L349" i="1"/>
  <c r="L350" i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E57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2" i="2"/>
  <c r="C113" i="2"/>
  <c r="E113" i="2"/>
  <c r="C114" i="2"/>
  <c r="E114" i="2"/>
  <c r="D115" i="2"/>
  <c r="F115" i="2"/>
  <c r="G115" i="2"/>
  <c r="E118" i="2"/>
  <c r="C119" i="2"/>
  <c r="E120" i="2"/>
  <c r="E121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 s="1"/>
  <c r="H641" i="1" s="1"/>
  <c r="I460" i="1"/>
  <c r="I461" i="1"/>
  <c r="H642" i="1" s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F571" i="1" s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1" i="1"/>
  <c r="G643" i="1"/>
  <c r="H643" i="1"/>
  <c r="G644" i="1"/>
  <c r="H645" i="1"/>
  <c r="G652" i="1"/>
  <c r="H652" i="1"/>
  <c r="G653" i="1"/>
  <c r="H653" i="1"/>
  <c r="G654" i="1"/>
  <c r="H654" i="1"/>
  <c r="H655" i="1"/>
  <c r="J655" i="1" s="1"/>
  <c r="C26" i="10"/>
  <c r="L351" i="1"/>
  <c r="C70" i="2"/>
  <c r="D18" i="13"/>
  <c r="C18" i="13" s="1"/>
  <c r="D17" i="13"/>
  <c r="C17" i="13" s="1"/>
  <c r="C91" i="2"/>
  <c r="F78" i="2"/>
  <c r="F81" i="2" s="1"/>
  <c r="D50" i="2"/>
  <c r="G157" i="2"/>
  <c r="F18" i="2"/>
  <c r="E103" i="2"/>
  <c r="E62" i="2"/>
  <c r="E63" i="2" s="1"/>
  <c r="E31" i="2"/>
  <c r="D19" i="13"/>
  <c r="C19" i="13" s="1"/>
  <c r="E78" i="2"/>
  <c r="E81" i="2" s="1"/>
  <c r="H112" i="1"/>
  <c r="L433" i="1"/>
  <c r="L419" i="1"/>
  <c r="I169" i="1"/>
  <c r="J643" i="1"/>
  <c r="H476" i="1"/>
  <c r="H624" i="1" s="1"/>
  <c r="J624" i="1" s="1"/>
  <c r="I476" i="1"/>
  <c r="H625" i="1" s="1"/>
  <c r="G476" i="1"/>
  <c r="H623" i="1" s="1"/>
  <c r="J623" i="1" s="1"/>
  <c r="J140" i="1"/>
  <c r="G22" i="2"/>
  <c r="C29" i="10"/>
  <c r="H140" i="1"/>
  <c r="L393" i="1"/>
  <c r="F22" i="13"/>
  <c r="C22" i="13" s="1"/>
  <c r="H571" i="1"/>
  <c r="J545" i="1"/>
  <c r="H192" i="1"/>
  <c r="E16" i="13"/>
  <c r="C16" i="13" s="1"/>
  <c r="I571" i="1"/>
  <c r="G36" i="2"/>
  <c r="C138" i="2"/>
  <c r="J625" i="1" l="1"/>
  <c r="L427" i="1"/>
  <c r="D91" i="2"/>
  <c r="D31" i="2"/>
  <c r="C18" i="2"/>
  <c r="L270" i="1"/>
  <c r="H169" i="1"/>
  <c r="F169" i="1"/>
  <c r="C35" i="10"/>
  <c r="L362" i="1"/>
  <c r="D127" i="2"/>
  <c r="D128" i="2" s="1"/>
  <c r="J644" i="1"/>
  <c r="G156" i="2"/>
  <c r="G81" i="2"/>
  <c r="C78" i="2"/>
  <c r="C131" i="2"/>
  <c r="A31" i="12"/>
  <c r="E111" i="2"/>
  <c r="L256" i="1"/>
  <c r="G62" i="2"/>
  <c r="L401" i="1"/>
  <c r="C139" i="2" s="1"/>
  <c r="A40" i="12"/>
  <c r="A13" i="12"/>
  <c r="K551" i="1"/>
  <c r="K598" i="1"/>
  <c r="G647" i="1" s="1"/>
  <c r="J647" i="1" s="1"/>
  <c r="J651" i="1"/>
  <c r="J649" i="1"/>
  <c r="H647" i="1"/>
  <c r="C20" i="10"/>
  <c r="C19" i="10"/>
  <c r="E13" i="13"/>
  <c r="C13" i="13" s="1"/>
  <c r="C122" i="2"/>
  <c r="C17" i="10"/>
  <c r="E8" i="13"/>
  <c r="C8" i="13" s="1"/>
  <c r="C120" i="2"/>
  <c r="C118" i="2"/>
  <c r="D6" i="13"/>
  <c r="C6" i="13" s="1"/>
  <c r="K257" i="1"/>
  <c r="K271" i="1" s="1"/>
  <c r="H25" i="13"/>
  <c r="C25" i="13" s="1"/>
  <c r="C132" i="2"/>
  <c r="L614" i="1"/>
  <c r="L565" i="1"/>
  <c r="L571" i="1" s="1"/>
  <c r="I545" i="1"/>
  <c r="K545" i="1"/>
  <c r="F552" i="1"/>
  <c r="L524" i="1"/>
  <c r="G545" i="1"/>
  <c r="G552" i="1"/>
  <c r="L529" i="1"/>
  <c r="H552" i="1"/>
  <c r="L534" i="1"/>
  <c r="K550" i="1"/>
  <c r="I552" i="1"/>
  <c r="K549" i="1"/>
  <c r="H545" i="1"/>
  <c r="L539" i="1"/>
  <c r="J552" i="1"/>
  <c r="E128" i="2"/>
  <c r="L309" i="1"/>
  <c r="E110" i="2"/>
  <c r="H338" i="1"/>
  <c r="H352" i="1" s="1"/>
  <c r="J338" i="1"/>
  <c r="J352" i="1" s="1"/>
  <c r="L328" i="1"/>
  <c r="E109" i="2"/>
  <c r="G338" i="1"/>
  <c r="G352" i="1" s="1"/>
  <c r="F338" i="1"/>
  <c r="F352" i="1" s="1"/>
  <c r="L290" i="1"/>
  <c r="G645" i="1"/>
  <c r="J645" i="1" s="1"/>
  <c r="J639" i="1"/>
  <c r="J640" i="1"/>
  <c r="I446" i="1"/>
  <c r="G642" i="1" s="1"/>
  <c r="J641" i="1"/>
  <c r="L382" i="1"/>
  <c r="G636" i="1" s="1"/>
  <c r="J636" i="1" s="1"/>
  <c r="H52" i="1"/>
  <c r="H619" i="1" s="1"/>
  <c r="F476" i="1"/>
  <c r="H622" i="1" s="1"/>
  <c r="J622" i="1" s="1"/>
  <c r="D18" i="2"/>
  <c r="J634" i="1"/>
  <c r="G661" i="1"/>
  <c r="D29" i="13"/>
  <c r="C29" i="13" s="1"/>
  <c r="H661" i="1"/>
  <c r="D145" i="2"/>
  <c r="C124" i="2"/>
  <c r="D15" i="13"/>
  <c r="C15" i="13" s="1"/>
  <c r="C21" i="10"/>
  <c r="F662" i="1"/>
  <c r="I662" i="1" s="1"/>
  <c r="C123" i="2"/>
  <c r="D14" i="13"/>
  <c r="C14" i="13" s="1"/>
  <c r="C18" i="10"/>
  <c r="D12" i="13"/>
  <c r="C12" i="13" s="1"/>
  <c r="C121" i="2"/>
  <c r="D7" i="13"/>
  <c r="C7" i="13" s="1"/>
  <c r="C16" i="10"/>
  <c r="C15" i="10"/>
  <c r="C112" i="2"/>
  <c r="C13" i="10"/>
  <c r="C111" i="2"/>
  <c r="C12" i="10"/>
  <c r="J257" i="1"/>
  <c r="J271" i="1" s="1"/>
  <c r="C11" i="10"/>
  <c r="L247" i="1"/>
  <c r="L229" i="1"/>
  <c r="L211" i="1"/>
  <c r="C110" i="2"/>
  <c r="I257" i="1"/>
  <c r="I271" i="1" s="1"/>
  <c r="H257" i="1"/>
  <c r="H271" i="1" s="1"/>
  <c r="D5" i="13"/>
  <c r="C5" i="13" s="1"/>
  <c r="G257" i="1"/>
  <c r="G271" i="1" s="1"/>
  <c r="C10" i="10"/>
  <c r="F257" i="1"/>
  <c r="F271" i="1" s="1"/>
  <c r="C109" i="2"/>
  <c r="C62" i="2"/>
  <c r="J617" i="1"/>
  <c r="K503" i="1"/>
  <c r="G161" i="2"/>
  <c r="K500" i="1"/>
  <c r="C81" i="2"/>
  <c r="F112" i="1"/>
  <c r="C36" i="10" s="1"/>
  <c r="C56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C27" i="10"/>
  <c r="G635" i="1"/>
  <c r="J635" i="1" s="1"/>
  <c r="H33" i="13" l="1"/>
  <c r="C128" i="2"/>
  <c r="E33" i="13"/>
  <c r="D35" i="13" s="1"/>
  <c r="L545" i="1"/>
  <c r="K552" i="1"/>
  <c r="G660" i="1"/>
  <c r="G664" i="1" s="1"/>
  <c r="G667" i="1" s="1"/>
  <c r="E115" i="2"/>
  <c r="E145" i="2" s="1"/>
  <c r="H660" i="1"/>
  <c r="H664" i="1" s="1"/>
  <c r="H667" i="1" s="1"/>
  <c r="L338" i="1"/>
  <c r="L352" i="1" s="1"/>
  <c r="G633" i="1" s="1"/>
  <c r="J633" i="1" s="1"/>
  <c r="D31" i="13"/>
  <c r="C31" i="13" s="1"/>
  <c r="F660" i="1"/>
  <c r="F664" i="1" s="1"/>
  <c r="F667" i="1" s="1"/>
  <c r="G104" i="2"/>
  <c r="H646" i="1"/>
  <c r="I661" i="1"/>
  <c r="H648" i="1"/>
  <c r="J648" i="1" s="1"/>
  <c r="C115" i="2"/>
  <c r="L257" i="1"/>
  <c r="L271" i="1" s="1"/>
  <c r="G632" i="1" s="1"/>
  <c r="J632" i="1" s="1"/>
  <c r="C28" i="10"/>
  <c r="D24" i="10" s="1"/>
  <c r="C63" i="2"/>
  <c r="C104" i="2" s="1"/>
  <c r="F193" i="1"/>
  <c r="G627" i="1" s="1"/>
  <c r="J627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I660" i="1"/>
  <c r="I664" i="1" s="1"/>
  <c r="I672" i="1" s="1"/>
  <c r="C7" i="10" s="1"/>
  <c r="D33" i="13"/>
  <c r="D36" i="13" s="1"/>
  <c r="G672" i="1"/>
  <c r="C5" i="10" s="1"/>
  <c r="H672" i="1"/>
  <c r="C6" i="10" s="1"/>
  <c r="F672" i="1"/>
  <c r="C4" i="10" s="1"/>
  <c r="D23" i="10"/>
  <c r="D25" i="10"/>
  <c r="D21" i="10"/>
  <c r="D19" i="10"/>
  <c r="D10" i="10"/>
  <c r="D22" i="10"/>
  <c r="D20" i="10"/>
  <c r="D13" i="10"/>
  <c r="D18" i="10"/>
  <c r="D15" i="10"/>
  <c r="D11" i="10"/>
  <c r="C30" i="10"/>
  <c r="D12" i="10"/>
  <c r="D26" i="10"/>
  <c r="D16" i="10"/>
  <c r="D27" i="10"/>
  <c r="D17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<sst xmlns="http://schemas.openxmlformats.org/spreadsheetml/2006/main" count="3987" uniqueCount="935">
  <si>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</si>
  <si>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</si>
  <si>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</si>
  <si>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</si>
  <si>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</si>
  <si>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</si>
  <si>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</si>
  <si>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</si>
  <si>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</si>
  <si>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</si>
  <si>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</si>
  <si>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</si>
  <si>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</si>
  <si>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</si>
  <si>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</si>
  <si>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</si>
  <si>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</si>
  <si>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</si>
  <si>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</si>
  <si>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</si>
  <si>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</si>
  <si>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</si>
  <si>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</si>
  <si>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</si>
  <si>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</si>
  <si>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</si>
  <si>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</si>
  <si>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</si>
  <si>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</si>
  <si>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</si>
  <si>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</si>
  <si>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</si>
  <si>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</si>
  <si>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</si>
  <si>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</si>
  <si>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</si>
  <si>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</si>
  <si>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</si>
  <si>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</si>
  <si>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</si>
  <si>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</si>
  <si>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</si>
  <si>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</si>
  <si>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</si>
  <si>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</si>
  <si>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</si>
  <si>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</si>
  <si>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</si>
  <si>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</si>
  <si>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</si>
  <si>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</si>
  <si>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</si>
  <si>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</si>
  <si>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</si>
  <si>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</si>
  <si>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</si>
  <si>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</si>
  <si>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</si>
  <si>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</si>
  <si>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</si>
  <si>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</si>
  <si>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</si>
  <si>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</si>
  <si>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</si>
  <si>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</si>
  <si>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</si>
  <si>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</si>
  <si>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</si>
  <si>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</si>
  <si>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</si>
  <si>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</si>
  <si>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</si>
  <si>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</si>
  <si>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</si>
  <si>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</si>
  <si>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</si>
  <si>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</si>
  <si>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</si>
  <si>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</si>
  <si>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</si>
  <si>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</si>
  <si>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</si>
  <si>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</si>
  <si>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</si>
  <si>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</si>
  <si>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</si>
  <si>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</si>
  <si>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</si>
  <si>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</si>
  <si>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</si>
  <si>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</si>
  <si>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</si>
  <si>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</si>
  <si>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</si>
  <si>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</si>
  <si>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</si>
  <si>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</si>
  <si>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</si>
  <si>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</si>
  <si>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</si>
  <si>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</si>
  <si>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</si>
  <si>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</si>
  <si>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</si>
  <si>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</si>
  <si>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</si>
  <si>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</si>
  <si>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</si>
  <si>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</si>
  <si>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</si>
  <si>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</si>
  <si>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</si>
  <si>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</si>
  <si>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</si>
  <si>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</si>
  <si>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</si>
  <si>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</si>
  <si>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</si>
  <si>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</si>
  <si>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</si>
  <si>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</si>
  <si>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</si>
  <si>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</si>
  <si>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</si>
  <si>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</si>
  <si>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</si>
  <si>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</si>
  <si>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</si>
  <si>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</si>
  <si>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</si>
  <si>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</si>
  <si>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</si>
  <si>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</si>
  <si>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</si>
  <si>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</si>
  <si>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</si>
  <si>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</si>
  <si>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</si>
  <si>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</si>
  <si>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</si>
  <si>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</si>
  <si>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</si>
  <si>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</si>
  <si>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</si>
  <si>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</si>
  <si>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</si>
  <si>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</si>
  <si>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</si>
  <si>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</si>
  <si>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</si>
  <si>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</si>
  <si>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</si>
  <si>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</si>
  <si>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</si>
  <si>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</si>
  <si>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</si>
  <si>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</si>
  <si>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</si>
  <si>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</si>
  <si>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</si>
  <si>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</si>
  <si>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</si>
  <si>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</si>
  <si>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</si>
  <si>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</si>
  <si>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</si>
  <si>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</si>
  <si>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</si>
  <si>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</si>
  <si>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</si>
  <si>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</si>
  <si>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</si>
  <si>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</si>
  <si>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</si>
  <si>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</si>
  <si>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</si>
  <si>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</si>
  <si>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</si>
  <si>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</si>
  <si>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</si>
  <si>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</si>
  <si>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</si>
  <si>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</si>
  <si>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</si>
  <si>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</si>
  <si>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</si>
  <si>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</si>
  <si>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</si>
  <si>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</si>
  <si>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</si>
  <si>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</si>
  <si>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</si>
  <si>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</si>
  <si>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</si>
  <si>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</si>
  <si>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</si>
  <si>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</si>
  <si>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</si>
  <si>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</si>
  <si>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</si>
  <si>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</si>
  <si>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</si>
  <si>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</si>
  <si>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</si>
  <si>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</si>
  <si>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</si>
  <si>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</si>
  <si>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</si>
  <si>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</si>
  <si>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</si>
  <si>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</si>
  <si>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</si>
  <si>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</si>
  <si>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</si>
  <si>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</si>
  <si>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</si>
  <si>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</si>
  <si>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</si>
  <si>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</si>
  <si>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</si>
  <si>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</si>
  <si>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</si>
  <si>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</si>
  <si>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</si>
  <si>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</si>
  <si>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</si>
  <si>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</si>
  <si>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</si>
  <si>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</si>
  <si>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</si>
  <si>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</si>
  <si>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</si>
  <si>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</si>
  <si>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</si>
  <si>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</si>
  <si>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</si>
  <si>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</si>
  <si>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</si>
  <si>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</si>
  <si>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</si>
  <si>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</si>
  <si>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</si>
  <si>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</si>
  <si>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</si>
  <si>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</si>
  <si>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</si>
  <si>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</si>
  <si>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</si>
  <si>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</si>
  <si>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</si>
  <si>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</si>
  <si>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</si>
  <si>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</si>
  <si>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</si>
  <si>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</si>
  <si>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</si>
  <si>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</si>
  <si>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</si>
  <si>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</si>
  <si>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</si>
  <si>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</si>
  <si>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</si>
  <si>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</si>
  <si>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</si>
  <si>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</si>
  <si>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</si>
  <si>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</si>
  <si>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</si>
  <si>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</si>
  <si>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</si>
  <si>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</si>
  <si>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</si>
  <si>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</si>
  <si>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</si>
  <si>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</si>
  <si>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</si>
  <si>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</si>
  <si>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</si>
  <si>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</si>
  <si>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</si>
  <si>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</si>
  <si>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</si>
  <si>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</si>
  <si>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</si>
  <si>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</si>
  <si>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</si>
  <si>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</si>
  <si>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</si>
  <si>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</si>
  <si>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</si>
  <si>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</si>
  <si>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</si>
  <si>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</si>
  <si>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</si>
  <si>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</si>
  <si>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</si>
  <si>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</si>
  <si>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</si>
  <si>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</si>
  <si>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</si>
  <si>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</si>
  <si>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</si>
  <si>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</si>
  <si>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</si>
  <si>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</si>
  <si>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</si>
  <si>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</si>
  <si>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</si>
  <si>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</si>
  <si>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</si>
  <si>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</si>
  <si>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</si>
  <si>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</si>
  <si>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</si>
  <si>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</si>
  <si>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</si>
  <si>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</si>
  <si>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</si>
  <si>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</si>
  <si>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</si>
  <si>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</si>
  <si>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</si>
  <si>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</si>
  <si>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</si>
  <si>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</si>
  <si>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</si>
  <si>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</si>
  <si>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</si>
  <si>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</si>
  <si>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</si>
  <si>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</si>
  <si>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</si>
  <si>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</si>
  <si>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</si>
  <si>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</si>
  <si>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</si>
  <si>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</si>
  <si>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</si>
  <si>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</si>
  <si>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</si>
  <si>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</si>
  <si>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</si>
  <si>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</si>
  <si>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</si>
  <si>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</si>
  <si>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</si>
  <si>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</si>
  <si>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</si>
  <si>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</si>
  <si>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</si>
  <si>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</si>
  <si>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</si>
  <si>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</si>
  <si>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</si>
  <si>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</si>
  <si>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</si>
  <si>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</si>
  <si>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</si>
  <si>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</si>
  <si>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</si>
  <si>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</si>
  <si>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</si>
  <si>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</si>
  <si>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</si>
  <si>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</si>
  <si>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</si>
  <si>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</si>
  <si>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</si>
  <si>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</si>
  <si>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</si>
  <si>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</si>
  <si>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</si>
  <si>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</si>
  <si>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</si>
  <si>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</si>
  <si>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</si>
  <si>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</si>
  <si>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</si>
  <si>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</si>
  <si>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</si>
  <si>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</si>
  <si>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</si>
  <si>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</si>
  <si>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</si>
  <si>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</si>
  <si>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</si>
  <si>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</si>
  <si>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</si>
  <si>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</si>
  <si>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</si>
  <si>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</si>
  <si>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</si>
  <si>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</si>
  <si>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</si>
  <si>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</si>
  <si>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</si>
  <si>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</si>
  <si>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</si>
  <si>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</si>
  <si>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</si>
  <si>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</si>
  <si>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</si>
  <si>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</si>
  <si>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</si>
  <si>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</si>
  <si>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</si>
  <si>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</si>
  <si>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</si>
  <si>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</si>
  <si>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</si>
  <si>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</si>
  <si>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</si>
  <si>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</si>
  <si>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</si>
  <si>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</si>
  <si>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</si>
  <si>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</si>
  <si>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</si>
  <si>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</si>
  <si>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</si>
  <si>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</si>
  <si>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</si>
  <si>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</si>
  <si>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</si>
  <si>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</si>
  <si>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</si>
  <si>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</si>
  <si>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</si>
  <si>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</si>
  <si>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</si>
  <si>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</si>
  <si>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</si>
  <si>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</si>
  <si>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</si>
  <si>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</si>
  <si>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</si>
  <si>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</si>
  <si>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</si>
  <si>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</si>
  <si>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</si>
  <si>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</si>
  <si>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</si>
  <si>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</si>
  <si>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</si>
  <si>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</si>
  <si>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</si>
  <si>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</si>
  <si>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</si>
  <si>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</si>
  <si>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</si>
  <si>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</si>
  <si>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</si>
  <si>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</si>
  <si>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</si>
  <si>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</si>
  <si>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</si>
  <si>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</si>
  <si>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</si>
  <si>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</si>
  <si>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</si>
  <si>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</si>
  <si>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</si>
  <si>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</si>
  <si>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</si>
  <si>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</si>
  <si>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</si>
  <si>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</si>
  <si>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</si>
  <si>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</si>
  <si>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</si>
  <si>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</si>
  <si>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</si>
  <si>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</si>
  <si>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</si>
  <si>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</si>
  <si>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</si>
  <si>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</si>
  <si>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</si>
  <si>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</si>
  <si>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</si>
  <si>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</si>
  <si>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</si>
  <si>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</si>
  <si>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</si>
  <si>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</si>
  <si>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</si>
  <si>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</si>
  <si>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</si>
  <si>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</si>
  <si>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</si>
  <si>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</si>
  <si>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</si>
  <si>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</si>
  <si>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</si>
  <si>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</si>
  <si>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</si>
  <si>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</si>
  <si>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</si>
  <si>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</si>
  <si>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</si>
  <si>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</si>
  <si>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</si>
  <si>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</si>
  <si>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</si>
  <si>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</si>
  <si>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</si>
  <si>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</si>
  <si>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</si>
  <si>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</si>
  <si>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</si>
  <si>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</si>
  <si>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</si>
  <si>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</si>
  <si>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</si>
  <si>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</si>
  <si>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</si>
  <si>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</si>
  <si>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</si>
  <si>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</si>
  <si>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</si>
  <si>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</si>
  <si>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</si>
  <si>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</si>
  <si>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</si>
  <si>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</si>
  <si>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</si>
  <si>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</si>
  <si>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</si>
  <si>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</si>
  <si>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</si>
  <si>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</si>
  <si>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</si>
  <si>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</si>
  <si>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</si>
  <si>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</si>
  <si>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</si>
  <si>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</si>
  <si>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</si>
  <si>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</si>
  <si>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</si>
  <si>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</si>
  <si>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</si>
  <si>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</si>
  <si>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</si>
  <si>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</si>
  <si>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</si>
  <si>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</si>
  <si>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</si>
  <si>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</si>
  <si>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</si>
  <si>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</si>
  <si>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</si>
  <si>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</si>
  <si>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</si>
  <si>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</si>
  <si>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</si>
  <si>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</si>
  <si>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</si>
  <si>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</si>
  <si>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</si>
  <si>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</si>
  <si>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</si>
  <si>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</si>
  <si>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</si>
  <si>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</si>
  <si>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</si>
  <si>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</si>
  <si>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</si>
  <si>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</si>
  <si>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</si>
  <si>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</si>
  <si>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</si>
  <si>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</si>
  <si>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</si>
  <si>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</si>
  <si>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</si>
  <si>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</si>
  <si>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</si>
  <si>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</si>
  <si>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</si>
  <si>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</si>
  <si>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</si>
  <si>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</si>
  <si>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</si>
  <si>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</si>
  <si>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</si>
  <si>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</si>
  <si>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</si>
  <si>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</si>
  <si>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</si>
  <si>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</si>
  <si>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</si>
  <si>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</si>
  <si>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</si>
  <si>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</si>
  <si>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</si>
  <si>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</si>
  <si>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</si>
  <si>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</si>
  <si>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</si>
  <si>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</si>
  <si>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</si>
  <si>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</si>
  <si>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</si>
  <si>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</si>
  <si>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</si>
  <si>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</si>
  <si>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</si>
  <si>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</si>
  <si>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</si>
  <si>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</si>
  <si>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</si>
  <si>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</si>
  <si>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</si>
  <si>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</si>
  <si>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</si>
  <si>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</si>
  <si>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</si>
  <si>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</si>
  <si>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</si>
  <si>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</si>
  <si>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</si>
  <si>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</si>
  <si>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</si>
  <si>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</si>
  <si>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</si>
  <si>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</si>
  <si>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</si>
  <si>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</si>
  <si>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</si>
  <si>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</si>
  <si>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</si>
  <si>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</si>
  <si>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</si>
  <si>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</si>
  <si>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</si>
  <si>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</si>
  <si>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</si>
  <si>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</si>
  <si>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</si>
  <si>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</si>
  <si>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</si>
  <si>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</si>
  <si>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</si>
  <si>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</si>
  <si>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</si>
  <si>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</si>
  <si>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</si>
  <si>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</si>
  <si>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</si>
  <si>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</si>
  <si>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</si>
  <si>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</si>
  <si>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</si>
  <si>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</si>
  <si>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</si>
  <si>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</si>
  <si>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</si>
  <si>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</si>
  <si>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</si>
  <si>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</si>
  <si>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</si>
  <si>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</si>
  <si>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</si>
  <si>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</si>
  <si>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</si>
  <si>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</si>
  <si>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</si>
  <si>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</si>
  <si>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</si>
  <si>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</si>
  <si>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</si>
  <si>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</si>
  <si>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</si>
  <si>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</si>
  <si>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</si>
  <si>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</si>
  <si>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</si>
  <si>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</si>
  <si>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</si>
  <si>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</si>
  <si>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</si>
  <si>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</si>
  <si>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</si>
  <si>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</si>
  <si>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</si>
  <si>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</si>
  <si>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</si>
  <si>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</si>
  <si>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</si>
  <si>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</si>
  <si>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</si>
  <si>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</si>
  <si>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</si>
  <si>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</si>
  <si>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</si>
  <si>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</si>
  <si>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</si>
  <si>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</si>
  <si>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</si>
  <si>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</si>
  <si>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</si>
  <si>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</si>
  <si>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</si>
  <si>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</si>
  <si>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</si>
  <si>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</si>
  <si>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</si>
  <si>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</si>
  <si>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</si>
  <si>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</si>
  <si>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</si>
  <si>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</si>
  <si>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</si>
  <si>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</si>
  <si>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</si>
  <si>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</si>
  <si>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</si>
  <si>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</si>
  <si>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</si>
  <si>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</si>
  <si>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</si>
  <si>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</si>
  <si>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</si>
  <si>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</si>
  <si>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</si>
  <si>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</si>
  <si>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</si>
  <si>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</si>
  <si>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</si>
  <si>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</si>
  <si>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</si>
  <si>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</si>
  <si>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</si>
  <si>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</si>
  <si>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</si>
  <si>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</si>
  <si>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</si>
  <si>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</si>
  <si>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</si>
  <si>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</si>
  <si>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</si>
  <si>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</si>
  <si>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</si>
  <si>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</si>
  <si>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</si>
  <si>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</si>
  <si>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</si>
  <si>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</si>
  <si>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</si>
  <si>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</si>
  <si>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</si>
  <si>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</si>
  <si>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</si>
  <si>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</si>
  <si>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</si>
  <si>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</si>
  <si>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</si>
  <si>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</si>
  <si>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</si>
  <si>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</si>
  <si>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</si>
  <si>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</si>
  <si>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</si>
  <si>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</si>
  <si>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</si>
  <si>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</si>
  <si>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</si>
  <si>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</si>
  <si>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</si>
  <si>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</si>
  <si>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</si>
  <si>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</si>
  <si>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</si>
  <si>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</si>
  <si>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</si>
  <si>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</si>
  <si>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</si>
  <si>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</si>
  <si>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</si>
  <si>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</si>
  <si>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</si>
  <si>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</si>
  <si>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</si>
  <si>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</si>
  <si>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</si>
  <si>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</si>
  <si>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</si>
  <si>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</si>
  <si>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</si>
  <si>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</si>
  <si>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</si>
  <si>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</si>
  <si>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</si>
  <si>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</si>
  <si>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</si>
  <si>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</si>
  <si>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</si>
  <si>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</si>
  <si>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</si>
  <si>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</si>
  <si>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</si>
  <si>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</si>
  <si>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</si>
  <si>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</si>
  <si>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</si>
  <si>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</si>
  <si>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</si>
  <si>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</si>
  <si>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</si>
  <si>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</si>
  <si>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</si>
  <si>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</si>
  <si>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</si>
  <si>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</si>
  <si>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</si>
  <si>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</si>
  <si>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</si>
  <si>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</si>
  <si>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</si>
  <si>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</si>
  <si>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</si>
  <si>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</si>
  <si>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</si>
  <si>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</si>
  <si>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</si>
  <si>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</si>
  <si>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</si>
  <si>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</si>
  <si>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</si>
  <si>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</si>
  <si>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</si>
  <si>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</si>
  <si>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</si>
  <si>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</si>
  <si>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</si>
  <si>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</si>
  <si>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</si>
  <si>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</si>
  <si>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</si>
  <si>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</si>
  <si>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</si>
  <si>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</si>
  <si>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</si>
  <si>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</si>
  <si>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</si>
  <si>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</si>
  <si>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</si>
  <si>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</si>
  <si>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</si>
  <si>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</si>
  <si>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</si>
  <si>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</si>
  <si>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</si>
  <si>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</si>
  <si>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</si>
  <si>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</si>
  <si>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</si>
  <si>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</si>
  <si>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</si>
  <si>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</si>
  <si>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</si>
  <si>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</si>
  <si>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</si>
  <si>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</si>
  <si>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</si>
  <si>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</si>
  <si>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</si>
  <si>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</si>
  <si>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</si>
  <si>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</si>
  <si>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</si>
  <si>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</si>
  <si>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</si>
  <si>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</si>
  <si>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</si>
  <si>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</si>
  <si>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</si>
  <si>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</si>
  <si>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</si>
  <si>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</si>
  <si>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</si>
  <si>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</si>
  <si>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</si>
  <si>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</si>
  <si>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</si>
  <si>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</si>
  <si>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</si>
  <si>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</si>
  <si>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</si>
  <si>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</si>
  <si>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</si>
  <si>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</si>
  <si>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</si>
  <si>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</si>
  <si>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</si>
  <si>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</si>
  <si>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</si>
  <si>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</si>
  <si>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</si>
  <si>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</si>
  <si>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</si>
  <si>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</si>
  <si>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</si>
  <si>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</si>
  <si>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</si>
  <si>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</si>
  <si>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</si>
  <si>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</si>
  <si>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</si>
  <si>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</si>
  <si>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</si>
  <si>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RAYMOND SCHOOL DISTRICT</t>
  </si>
  <si>
    <t xml:space="preserve">            HealthTrust and SchoolCare</t>
  </si>
  <si>
    <t>Other Restricted State Aid of $11,291.88 is Differentiated Charter School Aid</t>
  </si>
  <si>
    <t>Other Assessments from Local Sources of $13,426.00 are Impact Fees received from the Town of Raymond</t>
  </si>
  <si>
    <t>8/05</t>
  </si>
  <si>
    <t>8/25</t>
  </si>
  <si>
    <t>8/14</t>
  </si>
  <si>
    <t>8/24</t>
  </si>
  <si>
    <t>Transfers from Special Revenue Fund of $31,060.54 are Indirect Costs charged to Grants</t>
  </si>
  <si>
    <t>Fund Transfers to General Fund of $31,060.54 are Indirect Costs charged to Grants</t>
  </si>
  <si>
    <t>Other Food Service Revenues from Local Sources of $18,948.51 are Catering Sales</t>
  </si>
  <si>
    <t>Scholarship Funds</t>
  </si>
  <si>
    <t>Other Special Revenues from Local Sources of $75.03  is College Access Mini Grant</t>
  </si>
  <si>
    <t>Other Restricted Fed Aid through State of $20,000.00 is Emergency Management Performance Grant</t>
  </si>
  <si>
    <t>$8,400.00 Expenditure is for Engineering Study of Second Access Road to Raymond High School</t>
  </si>
  <si>
    <t>Other Expendable Funds Property of $44,912.87 is composed of Textbook Fund purchases of $38,012.10 and</t>
  </si>
  <si>
    <t>Intra-District Transportation cost of $9,955.13 is for After-School Program</t>
  </si>
  <si>
    <t>Other Transportation cost of $18,253.00 is for Homeless Transportation</t>
  </si>
  <si>
    <t>Other General Fund Revenues from Local Sources of $113,264.31 are Net Surplus refunds received from</t>
  </si>
  <si>
    <t>Transfers from Capital Projects Funds of $38,408.73 is transfer of funds from closure of Raymond High School Roof project</t>
  </si>
  <si>
    <t>Food Service equipment purchases of $6,900.77</t>
  </si>
  <si>
    <t>High School Regular Program Tuition to LEAs within NH of $950.00 is for Exeter Adult Education</t>
  </si>
  <si>
    <t>High School Special Program Tuition to LEAs within NH of $445.00 is for Exeter Adult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</si>
</sst>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1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1" fontId="0" fillId="0" borderId="11" xfId="0" applyNumberFormat="1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453</v>
      </c>
      <c r="C2" s="21">
        <v>453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1266968.96+100</f>
        <v>1267068.96</v>
      </c>
      <c r="G9" s="18">
        <f>100</f>
        <v>100</v>
      </c>
      <c r="H9" s="18"/>
      <c r="I9" s="18"/>
      <c r="J9" s="67">
        <f>SUM(I439)</f>
        <v>612407.43000000005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77292.38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163372.60999999999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f>12963.06</f>
        <v>12963.06</v>
      </c>
      <c r="H13" s="18">
        <v>159232.20000000001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3112.67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1433554.2399999998</v>
      </c>
      <c r="G19" s="41">
        <f>SUM(G9:G18)</f>
        <v>13063.06</v>
      </c>
      <c r="H19" s="41">
        <f>SUM(H9:H18)</f>
        <v>159232.20000000001</v>
      </c>
      <c r="I19" s="41">
        <f>SUM(I9:I18)</f>
        <v>0</v>
      </c>
      <c r="J19" s="41">
        <f>SUM(J9:J18)</f>
        <v>689699.81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4140.41</v>
      </c>
      <c r="H22" s="18">
        <v>159232.20000000001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137726.57+351802.87</f>
        <v>489529.44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114555.41+3884.01</f>
        <v>118439.42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766.5+3628.72+69624.43</f>
        <v>74019.649999999994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8922.65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681988.51</v>
      </c>
      <c r="G32" s="41">
        <f>SUM(G22:G31)</f>
        <v>13063.06</v>
      </c>
      <c r="H32" s="41">
        <f>SUM(H22:H31)</f>
        <v>159232.20000000001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f>75000+50000</f>
        <v>125000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689699.81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27507.25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649058.48-50000</f>
        <v>599058.48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751565.73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689699.81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1433554.24</v>
      </c>
      <c r="G52" s="41">
        <f>G51+G32</f>
        <v>13063.06</v>
      </c>
      <c r="H52" s="41">
        <f>H51+H32</f>
        <v>159232.20000000001</v>
      </c>
      <c r="I52" s="41">
        <f>I51+I32</f>
        <v>0</v>
      </c>
      <c r="J52" s="41">
        <f>J51+J32</f>
        <v>689699.81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12679251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13426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12692677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33726.879999999997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4415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10000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11658.92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59800.799999999996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 t="s">
        <v>287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129.36000000000001</v>
      </c>
      <c r="G96" s="18"/>
      <c r="H96" s="18"/>
      <c r="I96" s="18">
        <v>28.15</v>
      </c>
      <c r="J96" s="18">
        <v>6464.1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250868.41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72749.61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1853.91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469.39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50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113264.31</v>
      </c>
      <c r="G110" s="18">
        <v>18948.509999999998</v>
      </c>
      <c r="H110" s="18">
        <v>75.03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188516.58000000002</v>
      </c>
      <c r="G111" s="41">
        <f>SUM(G96:G110)</f>
        <v>269816.92</v>
      </c>
      <c r="H111" s="41">
        <f>SUM(H96:H110)</f>
        <v>75.03</v>
      </c>
      <c r="I111" s="41">
        <f>SUM(I96:I110)</f>
        <v>28.15</v>
      </c>
      <c r="J111" s="41">
        <f>SUM(J96:J110)</f>
        <v>6464.1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12940994.380000001</v>
      </c>
      <c r="G112" s="41">
        <f>G60+G111</f>
        <v>269816.92</v>
      </c>
      <c r="H112" s="41">
        <f>H60+H79+H94+H111</f>
        <v>75.03</v>
      </c>
      <c r="I112" s="41">
        <f>I60+I111</f>
        <v>28.15</v>
      </c>
      <c r="J112" s="41">
        <f>J60+J111</f>
        <v>6464.1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5775188.1699999999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1947468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7722656.1699999999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394962.32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404658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29187.200000000001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7100.01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11291.88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840099.4</v>
      </c>
      <c r="G136" s="41">
        <f>SUM(G123:G135)</f>
        <v>7100.01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8562755.5700000003</v>
      </c>
      <c r="G140" s="41">
        <f>G121+SUM(G136:G137)</f>
        <v>7100.01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96.75+216982.57</f>
        <v>217079.32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14649.72+670.48+28203.44+47342.87+162023.69+20793.8</f>
        <v>273684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219286.34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-53.75+365402.19+7978.33</f>
        <v>373326.77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285981.87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20000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285981.87</v>
      </c>
      <c r="G162" s="41">
        <f>SUM(G150:G161)</f>
        <v>219286.34</v>
      </c>
      <c r="H162" s="41">
        <f>SUM(H150:H161)</f>
        <v>884090.09000000008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285981.87</v>
      </c>
      <c r="G169" s="41">
        <f>G147+G162+SUM(G163:G168)</f>
        <v>219286.34</v>
      </c>
      <c r="H169" s="41">
        <f>H147+H162+SUM(H163:H168)</f>
        <v>884090.09000000008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35026.86</v>
      </c>
      <c r="H179" s="18"/>
      <c r="I179" s="18"/>
      <c r="J179" s="18">
        <v>214000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31060.54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38408.730000000003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69469.27</v>
      </c>
      <c r="G183" s="41">
        <f>SUM(G179:G182)</f>
        <v>35026.86</v>
      </c>
      <c r="H183" s="41">
        <f>SUM(H179:H182)</f>
        <v>0</v>
      </c>
      <c r="I183" s="41">
        <f>SUM(I179:I182)</f>
        <v>0</v>
      </c>
      <c r="J183" s="41">
        <f>SUM(J179:J182)</f>
        <v>214000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69469.27</v>
      </c>
      <c r="G192" s="41">
        <f>G183+SUM(G188:G191)</f>
        <v>35026.86</v>
      </c>
      <c r="H192" s="41">
        <f>+H183+SUM(H188:H191)</f>
        <v>0</v>
      </c>
      <c r="I192" s="41">
        <f>I177+I183+SUM(I188:I191)</f>
        <v>0</v>
      </c>
      <c r="J192" s="41">
        <f>J183</f>
        <v>214000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21859201.090000004</v>
      </c>
      <c r="G193" s="47">
        <f>G112+G140+G169+G192</f>
        <v>531230.13</v>
      </c>
      <c r="H193" s="47">
        <f>H112+H140+H169+H192</f>
        <v>884165.12000000011</v>
      </c>
      <c r="I193" s="47">
        <f>I112+I140+I169+I192</f>
        <v>28.15</v>
      </c>
      <c r="J193" s="47">
        <f>J112+J140+J192</f>
        <v>220464.1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1660013.27+48135.4</f>
        <v>1708148.67</v>
      </c>
      <c r="G197" s="18">
        <f>790931.31+71265.56</f>
        <v>862196.87000000011</v>
      </c>
      <c r="H197" s="18">
        <f>21000+14376.77</f>
        <v>35376.770000000004</v>
      </c>
      <c r="I197" s="18">
        <f>62720.06</f>
        <v>62720.06</v>
      </c>
      <c r="J197" s="18">
        <f>8706.7</f>
        <v>8706.7000000000007</v>
      </c>
      <c r="K197" s="18"/>
      <c r="L197" s="19">
        <f>SUM(F197:K197)</f>
        <v>2677149.0700000003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672867.32+47198.43</f>
        <v>720065.75</v>
      </c>
      <c r="G198" s="18">
        <f>511612.28+18037.5</f>
        <v>529649.78</v>
      </c>
      <c r="H198" s="18">
        <f>184619.74+245161.25</f>
        <v>429780.99</v>
      </c>
      <c r="I198" s="18">
        <f>4429.63+1516.33</f>
        <v>5945.96</v>
      </c>
      <c r="J198" s="18">
        <f>1731.7+622.37</f>
        <v>2354.0700000000002</v>
      </c>
      <c r="K198" s="18">
        <f>3863.14</f>
        <v>3863.14</v>
      </c>
      <c r="L198" s="19">
        <f>SUM(F198:K198)</f>
        <v>1691659.69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5712</f>
        <v>5712</v>
      </c>
      <c r="G200" s="18">
        <f>919.79+37.25</f>
        <v>957.04</v>
      </c>
      <c r="H200" s="18">
        <f>14067.43</f>
        <v>14067.43</v>
      </c>
      <c r="I200" s="18">
        <f>8501.95</f>
        <v>8501.9500000000007</v>
      </c>
      <c r="J200" s="18"/>
      <c r="K200" s="18"/>
      <c r="L200" s="19">
        <f>SUM(F200:K200)</f>
        <v>29238.420000000002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268640.89+25523.37</f>
        <v>294164.26</v>
      </c>
      <c r="G202" s="18">
        <f>163279.65+14551.43</f>
        <v>177831.08</v>
      </c>
      <c r="H202" s="18">
        <f>1000+1627.42</f>
        <v>2627.42</v>
      </c>
      <c r="I202" s="18">
        <f>2796.27+2953.35</f>
        <v>5749.62</v>
      </c>
      <c r="J202" s="18"/>
      <c r="K202" s="18"/>
      <c r="L202" s="19">
        <f t="shared" ref="L202:L208" si="0">SUM(F202:K202)</f>
        <v>480372.37999999995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48058.5+63886.14</f>
        <v>111944.64</v>
      </c>
      <c r="G203" s="18">
        <f>28496.9+32059.28</f>
        <v>60556.18</v>
      </c>
      <c r="H203" s="18">
        <f>10403.42+10893.84</f>
        <v>21297.260000000002</v>
      </c>
      <c r="I203" s="18">
        <f>23047.89+7727.44</f>
        <v>30775.329999999998</v>
      </c>
      <c r="J203" s="18">
        <f>17666.82+2647.24</f>
        <v>20314.059999999998</v>
      </c>
      <c r="K203" s="18"/>
      <c r="L203" s="19">
        <f t="shared" si="0"/>
        <v>244887.47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154895.75</f>
        <v>154895.75</v>
      </c>
      <c r="G204" s="18">
        <f>71090.64</f>
        <v>71090.64</v>
      </c>
      <c r="H204" s="18">
        <f>39980.5</f>
        <v>39980.5</v>
      </c>
      <c r="I204" s="18">
        <f>5763.41</f>
        <v>5763.41</v>
      </c>
      <c r="J204" s="18"/>
      <c r="K204" s="18">
        <f>5532.64</f>
        <v>5532.64</v>
      </c>
      <c r="L204" s="19">
        <f t="shared" si="0"/>
        <v>277262.94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234052.57</f>
        <v>234052.57</v>
      </c>
      <c r="G205" s="18">
        <f>161455.07</f>
        <v>161455.07</v>
      </c>
      <c r="H205" s="18">
        <f>36011.46</f>
        <v>36011.46</v>
      </c>
      <c r="I205" s="18">
        <f>1129.06</f>
        <v>1129.06</v>
      </c>
      <c r="J205" s="18"/>
      <c r="K205" s="18">
        <f>1584</f>
        <v>1584</v>
      </c>
      <c r="L205" s="19">
        <f t="shared" si="0"/>
        <v>434232.16000000003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52586.57</f>
        <v>52586.57</v>
      </c>
      <c r="G206" s="18">
        <f>19860.86</f>
        <v>19860.86</v>
      </c>
      <c r="H206" s="18">
        <f>1673.72</f>
        <v>1673.72</v>
      </c>
      <c r="I206" s="18"/>
      <c r="J206" s="18"/>
      <c r="K206" s="18">
        <f>581.86+374.97</f>
        <v>956.83</v>
      </c>
      <c r="L206" s="19">
        <f t="shared" si="0"/>
        <v>75077.98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117370.69+83375.34</f>
        <v>200746.03</v>
      </c>
      <c r="G207" s="18">
        <f>61357.65+26994.58</f>
        <v>88352.23000000001</v>
      </c>
      <c r="H207" s="18">
        <f>149318.43+43445.66</f>
        <v>192764.09</v>
      </c>
      <c r="I207" s="18">
        <f>117971.42+3780.2</f>
        <v>121751.62</v>
      </c>
      <c r="J207" s="18">
        <f>3430.96</f>
        <v>3430.96</v>
      </c>
      <c r="K207" s="18"/>
      <c r="L207" s="19">
        <f t="shared" si="0"/>
        <v>607044.92999999993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2100+163683.43+44373.46+59956.52+6084.34+5373.55</f>
        <v>281571.3</v>
      </c>
      <c r="I208" s="18"/>
      <c r="J208" s="18"/>
      <c r="K208" s="18"/>
      <c r="L208" s="19">
        <f t="shared" si="0"/>
        <v>281571.3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f>955.38</f>
        <v>955.38</v>
      </c>
      <c r="I209" s="18"/>
      <c r="J209" s="18"/>
      <c r="K209" s="18"/>
      <c r="L209" s="19">
        <f>SUM(F209:K209)</f>
        <v>955.38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3482316.2399999993</v>
      </c>
      <c r="G211" s="41">
        <f t="shared" si="1"/>
        <v>1971949.7500000002</v>
      </c>
      <c r="H211" s="41">
        <f t="shared" si="1"/>
        <v>1056106.3199999998</v>
      </c>
      <c r="I211" s="41">
        <f t="shared" si="1"/>
        <v>242337.01</v>
      </c>
      <c r="J211" s="41">
        <f t="shared" si="1"/>
        <v>34805.79</v>
      </c>
      <c r="K211" s="41">
        <f t="shared" si="1"/>
        <v>11936.61</v>
      </c>
      <c r="L211" s="41">
        <f t="shared" si="1"/>
        <v>6799451.7199999997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1599223.76+41041.08</f>
        <v>1640264.84</v>
      </c>
      <c r="G215" s="18">
        <f>853766.6+60762.25</f>
        <v>914528.85</v>
      </c>
      <c r="H215" s="18">
        <f>3760.25+12257.89</f>
        <v>16018.14</v>
      </c>
      <c r="I215" s="18">
        <f>44415.87</f>
        <v>44415.87</v>
      </c>
      <c r="J215" s="18">
        <f>7497.7</f>
        <v>7497.7</v>
      </c>
      <c r="K215" s="18"/>
      <c r="L215" s="19">
        <f>SUM(F215:K215)</f>
        <v>2622725.4000000004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478377.72+40242.21</f>
        <v>518619.93</v>
      </c>
      <c r="G216" s="18">
        <f>383249.79+15379.08</f>
        <v>398628.87</v>
      </c>
      <c r="H216" s="18">
        <f>400969.17+209028.77</f>
        <v>609997.93999999994</v>
      </c>
      <c r="I216" s="18">
        <f>2568.57+1292.85</f>
        <v>3861.42</v>
      </c>
      <c r="J216" s="18">
        <f>500+530.65</f>
        <v>1030.6500000000001</v>
      </c>
      <c r="K216" s="18">
        <f>3293.78</f>
        <v>3293.78</v>
      </c>
      <c r="L216" s="19">
        <f>SUM(F216:K216)</f>
        <v>1535432.5899999999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 t="s">
        <v>287</v>
      </c>
      <c r="I217" s="18" t="s">
        <v>287</v>
      </c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46279.07</f>
        <v>46279.07</v>
      </c>
      <c r="G218" s="18">
        <f>5894.72+31.76</f>
        <v>5926.4800000000005</v>
      </c>
      <c r="H218" s="18">
        <f>5833+11994.13</f>
        <v>17827.129999999997</v>
      </c>
      <c r="I218" s="18">
        <f>1295.85+7248.91</f>
        <v>8544.76</v>
      </c>
      <c r="J218" s="18"/>
      <c r="K218" s="18"/>
      <c r="L218" s="19">
        <f>SUM(F218:K218)</f>
        <v>78577.439999999988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220261.14+21761.68</f>
        <v>242022.82</v>
      </c>
      <c r="G220" s="18">
        <f>135414.84+12406.8</f>
        <v>147821.63999999998</v>
      </c>
      <c r="H220" s="18">
        <f>1387.57</f>
        <v>1387.57</v>
      </c>
      <c r="I220" s="18">
        <f>3320.26+2518.07</f>
        <v>5838.33</v>
      </c>
      <c r="J220" s="18">
        <f>399</f>
        <v>399</v>
      </c>
      <c r="K220" s="18"/>
      <c r="L220" s="19">
        <f t="shared" ref="L220:L226" si="2">SUM(F220:K220)</f>
        <v>397469.36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33893+54470.44</f>
        <v>88363.44</v>
      </c>
      <c r="G221" s="18">
        <f>16141.05+27334.29</f>
        <v>43475.34</v>
      </c>
      <c r="H221" s="18">
        <f>7381.7+9288.29</f>
        <v>16669.990000000002</v>
      </c>
      <c r="I221" s="18">
        <f>21071.87+6588.56</f>
        <v>27660.43</v>
      </c>
      <c r="J221" s="18">
        <f>23305.7+2257.08</f>
        <v>25562.78</v>
      </c>
      <c r="K221" s="18"/>
      <c r="L221" s="19">
        <f t="shared" si="2"/>
        <v>201731.97999999998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132066.82</f>
        <v>132066.82</v>
      </c>
      <c r="G222" s="18">
        <f>60613.13</f>
        <v>60613.13</v>
      </c>
      <c r="H222" s="18">
        <f>34088.07</f>
        <v>34088.07</v>
      </c>
      <c r="I222" s="18">
        <f>4913.98</f>
        <v>4913.9799999999996</v>
      </c>
      <c r="J222" s="18"/>
      <c r="K222" s="18">
        <f>4717.23</f>
        <v>4717.2299999999996</v>
      </c>
      <c r="L222" s="19">
        <f t="shared" si="2"/>
        <v>236399.23000000004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249249.4</f>
        <v>249249.4</v>
      </c>
      <c r="G223" s="18">
        <f>131581.15</f>
        <v>131581.15</v>
      </c>
      <c r="H223" s="18">
        <f>32445.76</f>
        <v>32445.759999999998</v>
      </c>
      <c r="I223" s="18">
        <f>1795.57</f>
        <v>1795.57</v>
      </c>
      <c r="J223" s="18"/>
      <c r="K223" s="18">
        <f>1075</f>
        <v>1075</v>
      </c>
      <c r="L223" s="19">
        <f t="shared" si="2"/>
        <v>416146.88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44836.23</f>
        <v>44836.23</v>
      </c>
      <c r="G224" s="18">
        <f>16933.73</f>
        <v>16933.73</v>
      </c>
      <c r="H224" s="18">
        <f>1427.04</f>
        <v>1427.04</v>
      </c>
      <c r="I224" s="18"/>
      <c r="J224" s="18"/>
      <c r="K224" s="18">
        <f>496.1+4644.19</f>
        <v>5140.29</v>
      </c>
      <c r="L224" s="19">
        <f t="shared" si="2"/>
        <v>68337.290000000008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144299.56+71087.27</f>
        <v>215386.83000000002</v>
      </c>
      <c r="G225" s="18">
        <f>94494.05+23016.04</f>
        <v>117510.09</v>
      </c>
      <c r="H225" s="18">
        <f>49712.86+37042.54</f>
        <v>86755.4</v>
      </c>
      <c r="I225" s="18">
        <f>160013.7+3223.07</f>
        <v>163236.77000000002</v>
      </c>
      <c r="J225" s="18">
        <f>2925.29</f>
        <v>2925.29</v>
      </c>
      <c r="K225" s="18"/>
      <c r="L225" s="19">
        <f t="shared" si="2"/>
        <v>585814.38000000012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7196.43+143223+73955.77+17986.96+6084.33+4581.58</f>
        <v>253028.06999999998</v>
      </c>
      <c r="I226" s="18"/>
      <c r="J226" s="18"/>
      <c r="K226" s="18"/>
      <c r="L226" s="19">
        <f t="shared" si="2"/>
        <v>253028.06999999998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f>814.58</f>
        <v>814.58</v>
      </c>
      <c r="I227" s="18"/>
      <c r="J227" s="18"/>
      <c r="K227" s="18"/>
      <c r="L227" s="19">
        <f>SUM(F227:K227)</f>
        <v>814.58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3177089.3799999994</v>
      </c>
      <c r="G229" s="41">
        <f>SUM(G215:G228)</f>
        <v>1837019.2799999998</v>
      </c>
      <c r="H229" s="41">
        <f>SUM(H215:H228)</f>
        <v>1070459.69</v>
      </c>
      <c r="I229" s="41">
        <f>SUM(I215:I228)</f>
        <v>260267.13</v>
      </c>
      <c r="J229" s="41">
        <f>SUM(J215:J228)</f>
        <v>37415.42</v>
      </c>
      <c r="K229" s="41">
        <f t="shared" si="3"/>
        <v>14226.3</v>
      </c>
      <c r="L229" s="41">
        <f t="shared" si="3"/>
        <v>6396477.200000002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1693080.7+42814.18</f>
        <v>1735894.88</v>
      </c>
      <c r="G233" s="18">
        <f>874324.7+63387.35</f>
        <v>937712.04999999993</v>
      </c>
      <c r="H233" s="18">
        <f>22085.68+12787.46</f>
        <v>34873.14</v>
      </c>
      <c r="I233" s="18">
        <f>74317.54</f>
        <v>74317.539999999994</v>
      </c>
      <c r="J233" s="18">
        <f>19735.29</f>
        <v>19735.29</v>
      </c>
      <c r="K233" s="18">
        <f>610</f>
        <v>610</v>
      </c>
      <c r="L233" s="19">
        <f>SUM(F233:K233)</f>
        <v>2803142.9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453325.01+41980.78</f>
        <v>495305.79000000004</v>
      </c>
      <c r="G234" s="18">
        <f>313356.22+16043.51</f>
        <v>329399.73</v>
      </c>
      <c r="H234" s="18">
        <f>444940.49+218059.4</f>
        <v>662999.89</v>
      </c>
      <c r="I234" s="18">
        <f>1491.42+1348.7</f>
        <v>2840.12</v>
      </c>
      <c r="J234" s="18">
        <f>485.19+553.57</f>
        <v>1038.76</v>
      </c>
      <c r="K234" s="18">
        <f>3436.09</f>
        <v>3436.09</v>
      </c>
      <c r="L234" s="19">
        <f>SUM(F234:K234)</f>
        <v>1495020.3800000004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114689</f>
        <v>114689</v>
      </c>
      <c r="I235" s="18"/>
      <c r="J235" s="18"/>
      <c r="K235" s="18"/>
      <c r="L235" s="19">
        <f>SUM(F235:K235)</f>
        <v>114689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107150.68</f>
        <v>107150.68</v>
      </c>
      <c r="G236" s="18">
        <f>16955.6</f>
        <v>16955.599999999999</v>
      </c>
      <c r="H236" s="18">
        <f>34386.06</f>
        <v>34386.06</v>
      </c>
      <c r="I236" s="18">
        <f>9497.15</f>
        <v>9497.15</v>
      </c>
      <c r="J236" s="18">
        <f>5819.15</f>
        <v>5819.15</v>
      </c>
      <c r="K236" s="18">
        <f>6286</f>
        <v>6286</v>
      </c>
      <c r="L236" s="19">
        <f>SUM(F236:K236)</f>
        <v>180094.63999999998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270578.02+22701.85</f>
        <v>293279.87</v>
      </c>
      <c r="G238" s="18">
        <f>149249.15+12942.81</f>
        <v>162191.96</v>
      </c>
      <c r="H238" s="18">
        <f>42202.94+1447.51</f>
        <v>43650.450000000004</v>
      </c>
      <c r="I238" s="18">
        <f>6107.94+2626.86</f>
        <v>8734.7999999999993</v>
      </c>
      <c r="J238" s="18"/>
      <c r="K238" s="18"/>
      <c r="L238" s="19">
        <f t="shared" ref="L238:L244" si="4">SUM(F238:K238)</f>
        <v>507857.07999999996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43601+56823.72</f>
        <v>100424.72</v>
      </c>
      <c r="G239" s="18">
        <f>19012.78+28515.21</f>
        <v>47527.99</v>
      </c>
      <c r="H239" s="18">
        <f>3004.03+9689.57</f>
        <v>12693.6</v>
      </c>
      <c r="I239" s="18">
        <f>21425.01+6873.2</f>
        <v>28298.21</v>
      </c>
      <c r="J239" s="18">
        <f>28672.67+2354.59</f>
        <v>31027.26</v>
      </c>
      <c r="K239" s="18"/>
      <c r="L239" s="19">
        <f t="shared" si="4"/>
        <v>219971.78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137772.48</f>
        <v>137772.48000000001</v>
      </c>
      <c r="G240" s="18">
        <f>63231.79</f>
        <v>63231.79</v>
      </c>
      <c r="H240" s="18">
        <f>35560.77</f>
        <v>35560.769999999997</v>
      </c>
      <c r="I240" s="18">
        <f>5126.28</f>
        <v>5126.28</v>
      </c>
      <c r="J240" s="18"/>
      <c r="K240" s="18">
        <f>4921.03</f>
        <v>4921.03</v>
      </c>
      <c r="L240" s="19">
        <f t="shared" si="4"/>
        <v>246612.35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236414.01</f>
        <v>236414.01</v>
      </c>
      <c r="G241" s="18">
        <f>102919.72</f>
        <v>102919.72</v>
      </c>
      <c r="H241" s="18">
        <f>38045.07</f>
        <v>38045.07</v>
      </c>
      <c r="I241" s="18">
        <f>8209.93</f>
        <v>8209.93</v>
      </c>
      <c r="J241" s="18"/>
      <c r="K241" s="18">
        <f>5210</f>
        <v>5210</v>
      </c>
      <c r="L241" s="19">
        <f t="shared" si="4"/>
        <v>390798.73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46773.28</f>
        <v>46773.279999999999</v>
      </c>
      <c r="G242" s="18">
        <f>17665.3</f>
        <v>17665.3</v>
      </c>
      <c r="H242" s="18">
        <f>1488.7</f>
        <v>1488.7</v>
      </c>
      <c r="I242" s="18"/>
      <c r="J242" s="18"/>
      <c r="K242" s="18">
        <f>517.54+1432.12</f>
        <v>1949.6599999999999</v>
      </c>
      <c r="L242" s="19">
        <f t="shared" si="4"/>
        <v>67876.94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108267.25+74158.44</f>
        <v>182425.69</v>
      </c>
      <c r="G243" s="18">
        <f>92311.98+24010.4</f>
        <v>116322.38</v>
      </c>
      <c r="H243" s="18">
        <f>82690.34+38642.88</f>
        <v>121333.22</v>
      </c>
      <c r="I243" s="18">
        <f>112528.16+3362.32</f>
        <v>115890.48000000001</v>
      </c>
      <c r="J243" s="18">
        <f>3051.67</f>
        <v>3051.67</v>
      </c>
      <c r="K243" s="18"/>
      <c r="L243" s="19">
        <f t="shared" si="4"/>
        <v>539023.44000000006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39292.66+173320.57+147911.54+25481.52+6084.33</f>
        <v>392090.62000000005</v>
      </c>
      <c r="I244" s="18"/>
      <c r="J244" s="18"/>
      <c r="K244" s="18"/>
      <c r="L244" s="19">
        <f t="shared" si="4"/>
        <v>392090.62000000005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f>849.77</f>
        <v>849.77</v>
      </c>
      <c r="I245" s="18"/>
      <c r="J245" s="18"/>
      <c r="K245" s="18"/>
      <c r="L245" s="19">
        <f>SUM(F245:K245)</f>
        <v>849.77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3335441.4000000004</v>
      </c>
      <c r="G247" s="41">
        <f t="shared" si="5"/>
        <v>1793926.52</v>
      </c>
      <c r="H247" s="41">
        <f t="shared" si="5"/>
        <v>1492660.29</v>
      </c>
      <c r="I247" s="41">
        <f t="shared" si="5"/>
        <v>252914.50999999998</v>
      </c>
      <c r="J247" s="41">
        <f t="shared" si="5"/>
        <v>60672.12999999999</v>
      </c>
      <c r="K247" s="41">
        <f t="shared" si="5"/>
        <v>22412.78</v>
      </c>
      <c r="L247" s="41">
        <f t="shared" si="5"/>
        <v>6958027.6299999999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>
        <f>17578.12</f>
        <v>17578.12</v>
      </c>
      <c r="J253" s="18"/>
      <c r="K253" s="18"/>
      <c r="L253" s="19">
        <f t="shared" si="6"/>
        <v>17578.12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8400</v>
      </c>
      <c r="I255" s="18"/>
      <c r="J255" s="18"/>
      <c r="K255" s="18"/>
      <c r="L255" s="19">
        <f t="shared" si="6"/>
        <v>8400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8400</v>
      </c>
      <c r="I256" s="41">
        <f t="shared" si="7"/>
        <v>17578.12</v>
      </c>
      <c r="J256" s="41">
        <f t="shared" si="7"/>
        <v>0</v>
      </c>
      <c r="K256" s="41">
        <f t="shared" si="7"/>
        <v>0</v>
      </c>
      <c r="L256" s="41">
        <f>SUM(F256:K256)</f>
        <v>25978.12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9994847.0199999996</v>
      </c>
      <c r="G257" s="41">
        <f t="shared" si="8"/>
        <v>5602895.5500000007</v>
      </c>
      <c r="H257" s="41">
        <f t="shared" si="8"/>
        <v>3627626.3</v>
      </c>
      <c r="I257" s="41">
        <f t="shared" si="8"/>
        <v>773096.77</v>
      </c>
      <c r="J257" s="41">
        <f t="shared" si="8"/>
        <v>132893.33999999997</v>
      </c>
      <c r="K257" s="41">
        <f t="shared" si="8"/>
        <v>48575.69</v>
      </c>
      <c r="L257" s="41">
        <f t="shared" si="8"/>
        <v>20179934.670000002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758949.2</v>
      </c>
      <c r="L260" s="19">
        <f>SUM(F260:K260)</f>
        <v>758949.2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407918.8</v>
      </c>
      <c r="L261" s="19">
        <f>SUM(F261:K261)</f>
        <v>407918.8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35026.86</v>
      </c>
      <c r="L263" s="19">
        <f>SUM(F263:K263)</f>
        <v>35026.86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 t="s">
        <v>287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 t="s">
        <v>287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214000</v>
      </c>
      <c r="L266" s="19">
        <f t="shared" si="9"/>
        <v>214000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1415894.86</v>
      </c>
      <c r="L270" s="41">
        <f t="shared" si="9"/>
        <v>1415894.86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9994847.0199999996</v>
      </c>
      <c r="G271" s="42">
        <f t="shared" si="11"/>
        <v>5602895.5500000007</v>
      </c>
      <c r="H271" s="42">
        <f t="shared" si="11"/>
        <v>3627626.3</v>
      </c>
      <c r="I271" s="42">
        <f t="shared" si="11"/>
        <v>773096.77</v>
      </c>
      <c r="J271" s="42">
        <f t="shared" si="11"/>
        <v>132893.33999999997</v>
      </c>
      <c r="K271" s="42">
        <f t="shared" si="11"/>
        <v>1464470.55</v>
      </c>
      <c r="L271" s="42">
        <f t="shared" si="11"/>
        <v>21595829.530000001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93397.1</f>
        <v>93397.1</v>
      </c>
      <c r="G276" s="18">
        <f>23543.29</f>
        <v>23543.29</v>
      </c>
      <c r="H276" s="18">
        <f>157.5</f>
        <v>157.5</v>
      </c>
      <c r="I276" s="18">
        <f>16897.57+2357.5</f>
        <v>19255.07</v>
      </c>
      <c r="J276" s="18">
        <f>6452.8</f>
        <v>6452.8</v>
      </c>
      <c r="K276" s="18"/>
      <c r="L276" s="19">
        <f>SUM(F276:K276)</f>
        <v>142805.76000000001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52756.94+14194.38</f>
        <v>66951.320000000007</v>
      </c>
      <c r="G277" s="18">
        <f>36225.58+8109.83</f>
        <v>44335.41</v>
      </c>
      <c r="H277" s="18"/>
      <c r="I277" s="18"/>
      <c r="J277" s="18"/>
      <c r="K277" s="18"/>
      <c r="L277" s="19">
        <f>SUM(F277:K277)</f>
        <v>111286.73000000001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43286.9+1109.69+22311.14</f>
        <v>66707.73000000001</v>
      </c>
      <c r="G279" s="18">
        <f>4128.79+107.13+10168.41</f>
        <v>14404.33</v>
      </c>
      <c r="H279" s="18">
        <f>10124.05</f>
        <v>10124.049999999999</v>
      </c>
      <c r="I279" s="18">
        <f>19576.98</f>
        <v>19576.98</v>
      </c>
      <c r="J279" s="18"/>
      <c r="K279" s="18"/>
      <c r="L279" s="19">
        <f>SUM(F279:K279)</f>
        <v>110813.09000000001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22912.62</f>
        <v>22912.62</v>
      </c>
      <c r="G281" s="18">
        <f>6536.1</f>
        <v>6536.1</v>
      </c>
      <c r="H281" s="18"/>
      <c r="I281" s="18"/>
      <c r="J281" s="18"/>
      <c r="K281" s="18"/>
      <c r="L281" s="19">
        <f t="shared" ref="L281:L287" si="12">SUM(F281:K281)</f>
        <v>29448.720000000001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3018.89</f>
        <v>3018.89</v>
      </c>
      <c r="G282" s="18">
        <f>771.27</f>
        <v>771.27</v>
      </c>
      <c r="H282" s="18">
        <f>13636+1978.43</f>
        <v>15614.43</v>
      </c>
      <c r="I282" s="18"/>
      <c r="J282" s="18"/>
      <c r="K282" s="18"/>
      <c r="L282" s="19">
        <f t="shared" si="12"/>
        <v>19404.59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252987.66000000003</v>
      </c>
      <c r="G290" s="42">
        <f t="shared" si="13"/>
        <v>89590.400000000023</v>
      </c>
      <c r="H290" s="42">
        <f t="shared" si="13"/>
        <v>25895.98</v>
      </c>
      <c r="I290" s="42">
        <f t="shared" si="13"/>
        <v>38832.050000000003</v>
      </c>
      <c r="J290" s="42">
        <f t="shared" si="13"/>
        <v>6452.8</v>
      </c>
      <c r="K290" s="42">
        <f t="shared" si="13"/>
        <v>0</v>
      </c>
      <c r="L290" s="41">
        <f t="shared" si="13"/>
        <v>413758.89000000007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54726.15</f>
        <v>54726.15</v>
      </c>
      <c r="G295" s="18">
        <f>8894.54</f>
        <v>8894.5400000000009</v>
      </c>
      <c r="H295" s="18">
        <f>157.5</f>
        <v>157.5</v>
      </c>
      <c r="I295" s="18">
        <f>663.67+2357.5</f>
        <v>3021.17</v>
      </c>
      <c r="J295" s="18">
        <f>6452.8</f>
        <v>6452.8</v>
      </c>
      <c r="K295" s="18"/>
      <c r="L295" s="19">
        <f>SUM(F295:K295)</f>
        <v>73252.160000000003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12102.38</f>
        <v>12102.38</v>
      </c>
      <c r="G296" s="18">
        <f>6914.58</f>
        <v>6914.58</v>
      </c>
      <c r="H296" s="18"/>
      <c r="I296" s="18"/>
      <c r="J296" s="18"/>
      <c r="K296" s="18"/>
      <c r="L296" s="19">
        <f>SUM(F296:K296)</f>
        <v>19016.96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f>24355.94+19022.86</f>
        <v>43378.8</v>
      </c>
      <c r="G298" s="18">
        <f>4092.21+8669.77</f>
        <v>12761.98</v>
      </c>
      <c r="H298" s="18">
        <f>8631.95</f>
        <v>8631.9500000000007</v>
      </c>
      <c r="I298" s="18"/>
      <c r="J298" s="18"/>
      <c r="K298" s="18"/>
      <c r="L298" s="19">
        <f>SUM(F298:K298)</f>
        <v>64772.729999999996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19535.69</f>
        <v>19535.689999999999</v>
      </c>
      <c r="G300" s="18">
        <f>5572.78</f>
        <v>5572.78</v>
      </c>
      <c r="H300" s="18"/>
      <c r="I300" s="18"/>
      <c r="J300" s="18"/>
      <c r="K300" s="18"/>
      <c r="L300" s="19">
        <f t="shared" ref="L300:L306" si="14">SUM(F300:K300)</f>
        <v>25108.469999999998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2573.96</f>
        <v>2573.96</v>
      </c>
      <c r="G301" s="18">
        <f>657.6</f>
        <v>657.6</v>
      </c>
      <c r="H301" s="18">
        <f>11900+1686.85</f>
        <v>13586.85</v>
      </c>
      <c r="I301" s="18"/>
      <c r="J301" s="18"/>
      <c r="K301" s="18"/>
      <c r="L301" s="19">
        <f t="shared" si="14"/>
        <v>16818.41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132316.98000000001</v>
      </c>
      <c r="G309" s="42">
        <f t="shared" si="15"/>
        <v>34801.479999999996</v>
      </c>
      <c r="H309" s="42">
        <f t="shared" si="15"/>
        <v>22376.300000000003</v>
      </c>
      <c r="I309" s="42">
        <f t="shared" si="15"/>
        <v>3021.17</v>
      </c>
      <c r="J309" s="42">
        <f t="shared" si="15"/>
        <v>6452.8</v>
      </c>
      <c r="K309" s="42">
        <f t="shared" si="15"/>
        <v>0</v>
      </c>
      <c r="L309" s="41">
        <f t="shared" si="15"/>
        <v>198968.72999999998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793.2</f>
        <v>793.2</v>
      </c>
      <c r="G314" s="18">
        <f>184.98</f>
        <v>184.98</v>
      </c>
      <c r="H314" s="18">
        <f>157.5</f>
        <v>157.5</v>
      </c>
      <c r="I314" s="18">
        <f>2357.5</f>
        <v>2357.5</v>
      </c>
      <c r="J314" s="18">
        <f>5412</f>
        <v>5412</v>
      </c>
      <c r="K314" s="18"/>
      <c r="L314" s="19">
        <f>SUM(F314:K314)</f>
        <v>8905.18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77836+12625.24</f>
        <v>90461.24</v>
      </c>
      <c r="G315" s="18">
        <f>50444.66+7213.31</f>
        <v>57657.97</v>
      </c>
      <c r="H315" s="18"/>
      <c r="I315" s="18"/>
      <c r="J315" s="18"/>
      <c r="K315" s="18"/>
      <c r="L315" s="19">
        <f>SUM(F315:K315)</f>
        <v>148119.21000000002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20379.69</f>
        <v>20379.689999999999</v>
      </c>
      <c r="G319" s="18">
        <f>5813.54</f>
        <v>5813.54</v>
      </c>
      <c r="H319" s="18"/>
      <c r="I319" s="18"/>
      <c r="J319" s="18"/>
      <c r="K319" s="18"/>
      <c r="L319" s="19">
        <f t="shared" ref="L319:L325" si="16">SUM(F319:K319)</f>
        <v>26193.23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7565+2685.15</f>
        <v>10250.15</v>
      </c>
      <c r="G320" s="18">
        <f>1764.2+686</f>
        <v>2450.1999999999998</v>
      </c>
      <c r="H320" s="18">
        <f>16301.3+1759.72</f>
        <v>18061.02</v>
      </c>
      <c r="I320" s="18">
        <f>6322.94</f>
        <v>6322.94</v>
      </c>
      <c r="J320" s="18"/>
      <c r="K320" s="18"/>
      <c r="L320" s="19">
        <f t="shared" si="16"/>
        <v>37084.31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>
        <f>20000</f>
        <v>20000</v>
      </c>
      <c r="K324" s="18"/>
      <c r="L324" s="19">
        <f t="shared" si="16"/>
        <v>20000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f>75.03</f>
        <v>75.03</v>
      </c>
      <c r="I325" s="18"/>
      <c r="J325" s="18"/>
      <c r="K325" s="18"/>
      <c r="L325" s="19">
        <f t="shared" si="16"/>
        <v>75.03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121884.28</v>
      </c>
      <c r="G328" s="42">
        <f t="shared" si="17"/>
        <v>66106.69</v>
      </c>
      <c r="H328" s="42">
        <f t="shared" si="17"/>
        <v>18293.55</v>
      </c>
      <c r="I328" s="42">
        <f t="shared" si="17"/>
        <v>8680.4399999999987</v>
      </c>
      <c r="J328" s="42">
        <f t="shared" si="17"/>
        <v>25412</v>
      </c>
      <c r="K328" s="42">
        <f t="shared" si="17"/>
        <v>0</v>
      </c>
      <c r="L328" s="41">
        <f t="shared" si="17"/>
        <v>240376.96000000002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507188.92000000004</v>
      </c>
      <c r="G338" s="41">
        <f t="shared" si="20"/>
        <v>190498.57</v>
      </c>
      <c r="H338" s="41">
        <f t="shared" si="20"/>
        <v>66565.83</v>
      </c>
      <c r="I338" s="41">
        <f t="shared" si="20"/>
        <v>50533.66</v>
      </c>
      <c r="J338" s="41">
        <f t="shared" si="20"/>
        <v>38317.599999999999</v>
      </c>
      <c r="K338" s="41">
        <f t="shared" si="20"/>
        <v>0</v>
      </c>
      <c r="L338" s="41">
        <f t="shared" si="20"/>
        <v>853104.58000000007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31060.54</v>
      </c>
      <c r="L344" s="19">
        <f t="shared" ref="L344:L350" si="21">SUM(F344:K344)</f>
        <v>31060.54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31060.54</v>
      </c>
      <c r="L351" s="41">
        <f>SUM(L341:L350)</f>
        <v>31060.54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507188.92000000004</v>
      </c>
      <c r="G352" s="41">
        <f>G338</f>
        <v>190498.57</v>
      </c>
      <c r="H352" s="41">
        <f>H338</f>
        <v>66565.83</v>
      </c>
      <c r="I352" s="41">
        <f>I338</f>
        <v>50533.66</v>
      </c>
      <c r="J352" s="41">
        <f>J338</f>
        <v>38317.599999999999</v>
      </c>
      <c r="K352" s="47">
        <f>K338+K351</f>
        <v>31060.54</v>
      </c>
      <c r="L352" s="41">
        <f>L338+L351</f>
        <v>884165.12000000011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77838.33</f>
        <v>77838.33</v>
      </c>
      <c r="G358" s="18">
        <f>19232.43</f>
        <v>19232.43</v>
      </c>
      <c r="H358" s="18">
        <f>4189.98</f>
        <v>4189.9799999999996</v>
      </c>
      <c r="I358" s="18">
        <f>5127.76+55757.3</f>
        <v>60885.060000000005</v>
      </c>
      <c r="J358" s="18">
        <f>2525.48</f>
        <v>2525.48</v>
      </c>
      <c r="K358" s="18">
        <f>290.48</f>
        <v>290.48</v>
      </c>
      <c r="L358" s="13">
        <f>SUM(F358:K358)</f>
        <v>164961.76000000004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71945.85</f>
        <v>71945.850000000006</v>
      </c>
      <c r="G359" s="18">
        <f>37644.22</f>
        <v>37644.22</v>
      </c>
      <c r="H359" s="18">
        <f>6388.53</f>
        <v>6388.53</v>
      </c>
      <c r="I359" s="18">
        <f>4504.22+56203.2</f>
        <v>60707.42</v>
      </c>
      <c r="J359" s="18">
        <f>378.18</f>
        <v>378.18</v>
      </c>
      <c r="K359" s="18">
        <f>247.66</f>
        <v>247.66</v>
      </c>
      <c r="L359" s="19">
        <f>SUM(F359:K359)</f>
        <v>177311.86000000002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86114.14</f>
        <v>86114.14</v>
      </c>
      <c r="G360" s="18">
        <f>22527.5</f>
        <v>22527.5</v>
      </c>
      <c r="H360" s="18">
        <f>4857.3</f>
        <v>4857.3</v>
      </c>
      <c r="I360" s="18">
        <f>6097.1+69441.47</f>
        <v>75538.570000000007</v>
      </c>
      <c r="J360" s="18">
        <f>175.37</f>
        <v>175.37</v>
      </c>
      <c r="K360" s="18">
        <f>258.36</f>
        <v>258.36</v>
      </c>
      <c r="L360" s="19">
        <f>SUM(F360:K360)</f>
        <v>189471.24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235898.32</v>
      </c>
      <c r="G362" s="47">
        <f t="shared" si="22"/>
        <v>79404.149999999994</v>
      </c>
      <c r="H362" s="47">
        <f t="shared" si="22"/>
        <v>15435.809999999998</v>
      </c>
      <c r="I362" s="47">
        <f t="shared" si="22"/>
        <v>197131.05000000002</v>
      </c>
      <c r="J362" s="47">
        <f t="shared" si="22"/>
        <v>3079.0299999999997</v>
      </c>
      <c r="K362" s="47">
        <f t="shared" si="22"/>
        <v>796.5</v>
      </c>
      <c r="L362" s="47">
        <f t="shared" si="22"/>
        <v>531744.8600000001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55757.3</f>
        <v>55757.3</v>
      </c>
      <c r="G367" s="18">
        <f>56203.2</f>
        <v>56203.199999999997</v>
      </c>
      <c r="H367" s="18">
        <f>69441.47</f>
        <v>69441.47</v>
      </c>
      <c r="I367" s="56">
        <f>SUM(F367:H367)</f>
        <v>181401.97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5127.76</f>
        <v>5127.76</v>
      </c>
      <c r="G368" s="63">
        <f>4504.22</f>
        <v>4504.22</v>
      </c>
      <c r="H368" s="63">
        <f>6097.1</f>
        <v>6097.1</v>
      </c>
      <c r="I368" s="56">
        <f>SUM(F368:H368)</f>
        <v>15729.08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60885.060000000005</v>
      </c>
      <c r="G369" s="47">
        <f>SUM(G367:G368)</f>
        <v>60707.42</v>
      </c>
      <c r="H369" s="47">
        <f>SUM(H367:H368)</f>
        <v>75538.570000000007</v>
      </c>
      <c r="I369" s="47">
        <f>SUM(I367:I368)</f>
        <v>197131.05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2200</v>
      </c>
      <c r="I379" s="18"/>
      <c r="J379" s="18"/>
      <c r="K379" s="18"/>
      <c r="L379" s="13">
        <f t="shared" si="23"/>
        <v>2200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38408.730000000003</v>
      </c>
      <c r="L381" s="13">
        <f t="shared" si="23"/>
        <v>38408.730000000003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2200</v>
      </c>
      <c r="I382" s="41">
        <f t="shared" si="24"/>
        <v>0</v>
      </c>
      <c r="J382" s="47">
        <f t="shared" si="24"/>
        <v>0</v>
      </c>
      <c r="K382" s="47">
        <f t="shared" si="24"/>
        <v>38408.730000000003</v>
      </c>
      <c r="L382" s="47">
        <f t="shared" si="24"/>
        <v>40608.730000000003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164870</v>
      </c>
      <c r="H396" s="18">
        <v>2061.2199999999998</v>
      </c>
      <c r="I396" s="18"/>
      <c r="J396" s="24" t="s">
        <v>289</v>
      </c>
      <c r="K396" s="24" t="s">
        <v>289</v>
      </c>
      <c r="L396" s="56">
        <f t="shared" si="26"/>
        <v>166931.22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874.27</v>
      </c>
      <c r="I397" s="18"/>
      <c r="J397" s="24" t="s">
        <v>289</v>
      </c>
      <c r="K397" s="24" t="s">
        <v>289</v>
      </c>
      <c r="L397" s="56">
        <f t="shared" si="26"/>
        <v>874.27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326.11</v>
      </c>
      <c r="I399" s="18"/>
      <c r="J399" s="24" t="s">
        <v>289</v>
      </c>
      <c r="K399" s="24" t="s">
        <v>289</v>
      </c>
      <c r="L399" s="56">
        <f t="shared" si="26"/>
        <v>326.11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49130</v>
      </c>
      <c r="H400" s="18">
        <v>310.83999999999997</v>
      </c>
      <c r="I400" s="18"/>
      <c r="J400" s="24" t="s">
        <v>289</v>
      </c>
      <c r="K400" s="24" t="s">
        <v>289</v>
      </c>
      <c r="L400" s="56">
        <f t="shared" si="26"/>
        <v>49440.84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214000</v>
      </c>
      <c r="H401" s="47">
        <f>SUM(H395:H400)</f>
        <v>3572.44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217572.43999999997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 t="s">
        <v>923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>
        <v>2891.66</v>
      </c>
      <c r="I403" s="18"/>
      <c r="J403" s="24" t="s">
        <v>289</v>
      </c>
      <c r="K403" s="24" t="s">
        <v>289</v>
      </c>
      <c r="L403" s="56">
        <f>SUM(F403:K403)</f>
        <v>2891.66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2891.66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2891.66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214000</v>
      </c>
      <c r="H408" s="47">
        <f>H393+H401+H407</f>
        <v>6464.1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220464.09999999998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>
        <v>133278</v>
      </c>
      <c r="K422" s="18"/>
      <c r="L422" s="56">
        <f t="shared" si="29"/>
        <v>133278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>
        <v>44912.87</v>
      </c>
      <c r="K426" s="18"/>
      <c r="L426" s="56">
        <f t="shared" si="29"/>
        <v>44912.87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178190.87</v>
      </c>
      <c r="K427" s="47">
        <f t="shared" si="30"/>
        <v>0</v>
      </c>
      <c r="L427" s="47">
        <f t="shared" si="30"/>
        <v>178190.87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923</v>
      </c>
      <c r="B429" s="6">
        <v>17</v>
      </c>
      <c r="C429" s="6">
        <v>15</v>
      </c>
      <c r="D429" s="2" t="s">
        <v>433</v>
      </c>
      <c r="E429" s="6"/>
      <c r="F429" s="18"/>
      <c r="G429" s="18"/>
      <c r="H429" s="18">
        <v>725</v>
      </c>
      <c r="I429" s="18"/>
      <c r="J429" s="18"/>
      <c r="K429" s="18"/>
      <c r="L429" s="56">
        <f>SUM(F429:K429)</f>
        <v>725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725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725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725</v>
      </c>
      <c r="I434" s="47">
        <f t="shared" si="32"/>
        <v>0</v>
      </c>
      <c r="J434" s="47">
        <f t="shared" si="32"/>
        <v>178190.87</v>
      </c>
      <c r="K434" s="47">
        <f t="shared" si="32"/>
        <v>0</v>
      </c>
      <c r="L434" s="47">
        <f t="shared" si="32"/>
        <v>178915.87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612407.43000000005</v>
      </c>
      <c r="G439" s="18" t="s">
        <v>287</v>
      </c>
      <c r="H439" s="18" t="s">
        <v>287</v>
      </c>
      <c r="I439" s="56">
        <f t="shared" ref="I439:I445" si="33">SUM(F439:H439)</f>
        <v>612407.43000000005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>
        <v>77292.38</v>
      </c>
      <c r="I440" s="56">
        <f t="shared" si="33"/>
        <v>77292.38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612407.43000000005</v>
      </c>
      <c r="G446" s="13">
        <f>SUM(G439:G445)</f>
        <v>0</v>
      </c>
      <c r="H446" s="13">
        <f>SUM(H439:H445)</f>
        <v>77292.38</v>
      </c>
      <c r="I446" s="13">
        <f>SUM(I439:I445)</f>
        <v>689699.81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612407.43000000005</v>
      </c>
      <c r="G459" s="18" t="s">
        <v>287</v>
      </c>
      <c r="H459" s="18">
        <v>77292.38</v>
      </c>
      <c r="I459" s="56">
        <f t="shared" si="34"/>
        <v>689699.81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612407.43000000005</v>
      </c>
      <c r="G460" s="83">
        <f>SUM(G454:G459)</f>
        <v>0</v>
      </c>
      <c r="H460" s="83">
        <f>SUM(H454:H459)</f>
        <v>77292.38</v>
      </c>
      <c r="I460" s="83">
        <f>SUM(I454:I459)</f>
        <v>689699.81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612407.43000000005</v>
      </c>
      <c r="G461" s="42">
        <f>G452+G460</f>
        <v>0</v>
      </c>
      <c r="H461" s="42">
        <f>H452+H460</f>
        <v>77292.38</v>
      </c>
      <c r="I461" s="42">
        <f>I452+I460</f>
        <v>689699.81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488194.17</v>
      </c>
      <c r="G465" s="18">
        <v>514.73</v>
      </c>
      <c r="H465" s="18">
        <v>0</v>
      </c>
      <c r="I465" s="18">
        <v>40580.58</v>
      </c>
      <c r="J465" s="18">
        <v>648151.57999999996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21859201.09</v>
      </c>
      <c r="G468" s="18">
        <v>531230.13</v>
      </c>
      <c r="H468" s="18">
        <v>884165.12</v>
      </c>
      <c r="I468" s="18">
        <v>28.15</v>
      </c>
      <c r="J468" s="18">
        <v>220464.1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21859201.09</v>
      </c>
      <c r="G470" s="53">
        <f>SUM(G468:G469)</f>
        <v>531230.13</v>
      </c>
      <c r="H470" s="53">
        <f>SUM(H468:H469)</f>
        <v>884165.12</v>
      </c>
      <c r="I470" s="53">
        <f>SUM(I468:I469)</f>
        <v>28.15</v>
      </c>
      <c r="J470" s="53">
        <f>SUM(J468:J469)</f>
        <v>220464.1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21595829.530000001</v>
      </c>
      <c r="G472" s="18">
        <v>531744.86</v>
      </c>
      <c r="H472" s="18">
        <v>884165.12</v>
      </c>
      <c r="I472" s="18">
        <v>40608.730000000003</v>
      </c>
      <c r="J472" s="18">
        <v>178915.87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21595829.530000001</v>
      </c>
      <c r="G474" s="53">
        <f>SUM(G472:G473)</f>
        <v>531744.86</v>
      </c>
      <c r="H474" s="53">
        <f>SUM(H472:H473)</f>
        <v>884165.12</v>
      </c>
      <c r="I474" s="53">
        <f>SUM(I472:I473)</f>
        <v>40608.730000000003</v>
      </c>
      <c r="J474" s="53">
        <f>SUM(J472:J473)</f>
        <v>178915.87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751565.73000000045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689699.80999999994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916</v>
      </c>
      <c r="G491" s="155" t="s">
        <v>918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917</v>
      </c>
      <c r="G492" s="155" t="s">
        <v>919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13402490</v>
      </c>
      <c r="G493" s="18">
        <v>1060000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4.13</v>
      </c>
      <c r="G494" s="18">
        <v>5.0999999999999996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5739776.9500000002</v>
      </c>
      <c r="G495" s="18">
        <v>1060000</v>
      </c>
      <c r="H495" s="18"/>
      <c r="I495" s="18"/>
      <c r="J495" s="18"/>
      <c r="K495" s="53">
        <f>SUM(F495:J495)</f>
        <v>6799776.9500000002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648949.19999999995</v>
      </c>
      <c r="G497" s="18">
        <v>110000</v>
      </c>
      <c r="H497" s="18"/>
      <c r="I497" s="18"/>
      <c r="J497" s="18"/>
      <c r="K497" s="53">
        <f t="shared" si="35"/>
        <v>758949.2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5090827.75</v>
      </c>
      <c r="G498" s="204">
        <f>G495-G497</f>
        <v>950000</v>
      </c>
      <c r="H498" s="204"/>
      <c r="I498" s="204"/>
      <c r="J498" s="204"/>
      <c r="K498" s="205">
        <f t="shared" si="35"/>
        <v>6040827.75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4679963.25</v>
      </c>
      <c r="G499" s="18">
        <v>217005</v>
      </c>
      <c r="H499" s="18"/>
      <c r="I499" s="18"/>
      <c r="J499" s="18"/>
      <c r="K499" s="53">
        <f t="shared" si="35"/>
        <v>4896968.25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9770791</v>
      </c>
      <c r="G500" s="42">
        <f>SUM(G498:G499)</f>
        <v>1167005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10937796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619248.27</v>
      </c>
      <c r="G501" s="204">
        <v>110000</v>
      </c>
      <c r="H501" s="204"/>
      <c r="I501" s="204"/>
      <c r="J501" s="204"/>
      <c r="K501" s="205">
        <f t="shared" si="35"/>
        <v>729248.27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383614.73</v>
      </c>
      <c r="G502" s="18">
        <v>45645</v>
      </c>
      <c r="H502" s="18"/>
      <c r="I502" s="18"/>
      <c r="J502" s="18"/>
      <c r="K502" s="53">
        <f t="shared" si="35"/>
        <v>429259.73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1002863</v>
      </c>
      <c r="G503" s="42">
        <f>SUM(G501:G502)</f>
        <v>155645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1158508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333767.76+339099.56+37656.45+14194.38+48114.38+4642.56</f>
        <v>777475.09000000008</v>
      </c>
      <c r="G521" s="18">
        <f>405269.32+6786.35+863.67+149.24+46242.44+52301.26+17307.58+8109.83+33041.81+3183.77</f>
        <v>573255.27</v>
      </c>
      <c r="H521" s="18">
        <f>13071.64+171548.1+235539.14</f>
        <v>420158.88</v>
      </c>
      <c r="I521" s="18">
        <f>4429.63+1288.4</f>
        <v>5718.0300000000007</v>
      </c>
      <c r="J521" s="18">
        <f>1000+731.7+622.37</f>
        <v>2354.0700000000002</v>
      </c>
      <c r="K521" s="18">
        <f>3863.15+5106.16+152</f>
        <v>9121.31</v>
      </c>
      <c r="L521" s="88">
        <f>SUM(F521:K521)</f>
        <v>1788082.6500000004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229520+248857.72+32106.54+12102.38</f>
        <v>522586.63999999996</v>
      </c>
      <c r="G522" s="18">
        <f>307477.04+6560.64+678.25+184.34+32383.79+35965.73+14756.75+6914.58</f>
        <v>404921.12</v>
      </c>
      <c r="H522" s="18">
        <f>400969.17+200824.79</f>
        <v>601793.96</v>
      </c>
      <c r="I522" s="18">
        <f>2568.57+1098.52</f>
        <v>3667.09</v>
      </c>
      <c r="J522" s="18">
        <f>500+530.65</f>
        <v>1030.6500000000001</v>
      </c>
      <c r="K522" s="18">
        <f>3293.78+4353.6</f>
        <v>7647.380000000001</v>
      </c>
      <c r="L522" s="88">
        <f>SUM(F522:K522)</f>
        <v>1541646.8399999999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267219.16+186105.85+33493.63+12625.24+77836</f>
        <v>577279.88</v>
      </c>
      <c r="G523" s="18">
        <f>234572.92+4755.12+623.67+149.76+31381.3+41873.45+15394.28+7213.31+50444.66</f>
        <v>386408.47000000009</v>
      </c>
      <c r="H523" s="18">
        <f>445+444495.49+209500.99</f>
        <v>654441.48</v>
      </c>
      <c r="I523" s="18">
        <f>1491.42+1145.98</f>
        <v>2637.4</v>
      </c>
      <c r="J523" s="18">
        <f>485.19+553.57</f>
        <v>1038.76</v>
      </c>
      <c r="K523" s="18">
        <f>3436.08+4541.69</f>
        <v>7977.7699999999995</v>
      </c>
      <c r="L523" s="88">
        <f>SUM(F523:K523)</f>
        <v>1629783.76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1877341.6099999999</v>
      </c>
      <c r="G524" s="108">
        <f t="shared" ref="G524:L524" si="36">SUM(G521:G523)</f>
        <v>1364584.86</v>
      </c>
      <c r="H524" s="108">
        <f t="shared" si="36"/>
        <v>1676394.3199999998</v>
      </c>
      <c r="I524" s="108">
        <f t="shared" si="36"/>
        <v>12022.52</v>
      </c>
      <c r="J524" s="108">
        <f t="shared" si="36"/>
        <v>4423.4800000000005</v>
      </c>
      <c r="K524" s="108">
        <f t="shared" si="36"/>
        <v>24746.460000000003</v>
      </c>
      <c r="L524" s="89">
        <f t="shared" si="36"/>
        <v>4959513.25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117901.78+25523.37+22912.61</f>
        <v>166337.76</v>
      </c>
      <c r="G526" s="18">
        <f>88072.27+14551.43+6536.09</f>
        <v>109159.79000000001</v>
      </c>
      <c r="H526" s="18">
        <f>1627.42+282.65</f>
        <v>1910.0700000000002</v>
      </c>
      <c r="I526" s="18">
        <f>2953.35+547.03</f>
        <v>3500.38</v>
      </c>
      <c r="J526" s="18"/>
      <c r="K526" s="18"/>
      <c r="L526" s="88">
        <f>SUM(F526:K526)</f>
        <v>280908.00000000006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21761.68+19535.69</f>
        <v>41297.369999999995</v>
      </c>
      <c r="G527" s="18">
        <f>12406.8+5572.79</f>
        <v>17979.59</v>
      </c>
      <c r="H527" s="18">
        <f>1387.57+240.99</f>
        <v>1628.56</v>
      </c>
      <c r="I527" s="18">
        <f>2518.07+466.41</f>
        <v>2984.48</v>
      </c>
      <c r="J527" s="18"/>
      <c r="K527" s="18"/>
      <c r="L527" s="88">
        <f>SUM(F527:K527)</f>
        <v>63889.999999999993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22701.85+20379.7</f>
        <v>43081.55</v>
      </c>
      <c r="G528" s="18">
        <f>12942.81+5813.54</f>
        <v>18756.349999999999</v>
      </c>
      <c r="H528" s="18">
        <f>1447.51+251.4</f>
        <v>1698.91</v>
      </c>
      <c r="I528" s="18">
        <f>2626.86+486.56</f>
        <v>3113.42</v>
      </c>
      <c r="J528" s="18"/>
      <c r="K528" s="18"/>
      <c r="L528" s="88">
        <f>SUM(F528:K528)</f>
        <v>66650.23000000001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250716.68</v>
      </c>
      <c r="G529" s="89">
        <f t="shared" ref="G529:L529" si="37">SUM(G526:G528)</f>
        <v>145895.73000000001</v>
      </c>
      <c r="H529" s="89">
        <f t="shared" si="37"/>
        <v>5237.54</v>
      </c>
      <c r="I529" s="89">
        <f t="shared" si="37"/>
        <v>9598.2800000000007</v>
      </c>
      <c r="J529" s="89">
        <f t="shared" si="37"/>
        <v>0</v>
      </c>
      <c r="K529" s="89">
        <f t="shared" si="37"/>
        <v>0</v>
      </c>
      <c r="L529" s="89">
        <f t="shared" si="37"/>
        <v>411448.2300000001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39720</f>
        <v>39720</v>
      </c>
      <c r="G531" s="18">
        <f>23994.54</f>
        <v>23994.54</v>
      </c>
      <c r="H531" s="18">
        <f>929.88</f>
        <v>929.88</v>
      </c>
      <c r="I531" s="18"/>
      <c r="J531" s="18"/>
      <c r="K531" s="18">
        <f>247.99</f>
        <v>247.99</v>
      </c>
      <c r="L531" s="88">
        <f>SUM(F531:K531)</f>
        <v>64892.409999999996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33865.97</f>
        <v>33865.97</v>
      </c>
      <c r="G532" s="18">
        <f>20458.17</f>
        <v>20458.169999999998</v>
      </c>
      <c r="H532" s="18">
        <f>792.83</f>
        <v>792.83</v>
      </c>
      <c r="I532" s="18"/>
      <c r="J532" s="18"/>
      <c r="K532" s="18">
        <f>211.44</f>
        <v>211.44</v>
      </c>
      <c r="L532" s="88">
        <f>SUM(F532:K532)</f>
        <v>55328.41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35329.08</f>
        <v>35329.08</v>
      </c>
      <c r="G533" s="18">
        <f>21342.02</f>
        <v>21342.02</v>
      </c>
      <c r="H533" s="18">
        <f>827.08</f>
        <v>827.08</v>
      </c>
      <c r="I533" s="18"/>
      <c r="J533" s="18"/>
      <c r="K533" s="18">
        <f>220.57</f>
        <v>220.57</v>
      </c>
      <c r="L533" s="88">
        <f>SUM(F533:K533)</f>
        <v>57718.750000000007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108915.05</v>
      </c>
      <c r="G534" s="89">
        <f t="shared" ref="G534:L534" si="38">SUM(G531:G533)</f>
        <v>65794.73</v>
      </c>
      <c r="H534" s="89">
        <f t="shared" si="38"/>
        <v>2549.79</v>
      </c>
      <c r="I534" s="89">
        <f t="shared" si="38"/>
        <v>0</v>
      </c>
      <c r="J534" s="89">
        <f t="shared" si="38"/>
        <v>0</v>
      </c>
      <c r="K534" s="89">
        <f t="shared" si="38"/>
        <v>680</v>
      </c>
      <c r="L534" s="89">
        <f t="shared" si="38"/>
        <v>177939.57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9622.11</f>
        <v>9622.11</v>
      </c>
      <c r="I536" s="18"/>
      <c r="J536" s="18"/>
      <c r="K536" s="18"/>
      <c r="L536" s="88">
        <f>SUM(F536:K536)</f>
        <v>9622.11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8203.98</f>
        <v>8203.98</v>
      </c>
      <c r="I537" s="18"/>
      <c r="J537" s="18"/>
      <c r="K537" s="18"/>
      <c r="L537" s="88">
        <f>SUM(F537:K537)</f>
        <v>8203.98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8558.41</f>
        <v>8558.41</v>
      </c>
      <c r="I538" s="18"/>
      <c r="J538" s="18"/>
      <c r="K538" s="18"/>
      <c r="L538" s="88">
        <f>SUM(F538:K538)</f>
        <v>8558.41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26384.5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26384.5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44373.46+59956.52</f>
        <v>104329.98</v>
      </c>
      <c r="I541" s="18"/>
      <c r="J541" s="18"/>
      <c r="K541" s="18"/>
      <c r="L541" s="88">
        <f>SUM(F541:K541)</f>
        <v>104329.98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73955.77+17986.96</f>
        <v>91942.73000000001</v>
      </c>
      <c r="I542" s="18"/>
      <c r="J542" s="18"/>
      <c r="K542" s="18"/>
      <c r="L542" s="88">
        <f>SUM(F542:K542)</f>
        <v>91942.73000000001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147911.54+25481.52</f>
        <v>173393.06</v>
      </c>
      <c r="I543" s="18"/>
      <c r="J543" s="18"/>
      <c r="K543" s="18"/>
      <c r="L543" s="88">
        <f>SUM(F543:K543)</f>
        <v>173393.06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369665.77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369665.77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2236973.34</v>
      </c>
      <c r="G545" s="89">
        <f t="shared" ref="G545:L545" si="41">G524+G529+G534+G539+G544</f>
        <v>1576275.32</v>
      </c>
      <c r="H545" s="89">
        <f t="shared" si="41"/>
        <v>2080231.92</v>
      </c>
      <c r="I545" s="89">
        <f t="shared" si="41"/>
        <v>21620.800000000003</v>
      </c>
      <c r="J545" s="89">
        <f t="shared" si="41"/>
        <v>4423.4800000000005</v>
      </c>
      <c r="K545" s="89">
        <f t="shared" si="41"/>
        <v>25426.460000000003</v>
      </c>
      <c r="L545" s="89">
        <f t="shared" si="41"/>
        <v>5944951.3200000003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1788082.6500000004</v>
      </c>
      <c r="G549" s="87">
        <f>L526</f>
        <v>280908.00000000006</v>
      </c>
      <c r="H549" s="87">
        <f>L531</f>
        <v>64892.409999999996</v>
      </c>
      <c r="I549" s="87">
        <f>L536</f>
        <v>9622.11</v>
      </c>
      <c r="J549" s="87">
        <f>L541</f>
        <v>104329.98</v>
      </c>
      <c r="K549" s="87">
        <f>SUM(F549:J549)</f>
        <v>2247835.1500000004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1541646.8399999999</v>
      </c>
      <c r="G550" s="87">
        <f>L527</f>
        <v>63889.999999999993</v>
      </c>
      <c r="H550" s="87">
        <f>L532</f>
        <v>55328.41</v>
      </c>
      <c r="I550" s="87">
        <f>L537</f>
        <v>8203.98</v>
      </c>
      <c r="J550" s="87">
        <f>L542</f>
        <v>91942.73000000001</v>
      </c>
      <c r="K550" s="87">
        <f>SUM(F550:J550)</f>
        <v>1761011.9599999997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1629783.76</v>
      </c>
      <c r="G551" s="87">
        <f>L528</f>
        <v>66650.23000000001</v>
      </c>
      <c r="H551" s="87">
        <f>L533</f>
        <v>57718.750000000007</v>
      </c>
      <c r="I551" s="87">
        <f>L538</f>
        <v>8558.41</v>
      </c>
      <c r="J551" s="87">
        <f>L543</f>
        <v>173393.06</v>
      </c>
      <c r="K551" s="87">
        <f>SUM(F551:J551)</f>
        <v>1936104.21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4959513.25</v>
      </c>
      <c r="G552" s="89">
        <f t="shared" si="42"/>
        <v>411448.2300000001</v>
      </c>
      <c r="H552" s="89">
        <f t="shared" si="42"/>
        <v>177939.57</v>
      </c>
      <c r="I552" s="89">
        <f t="shared" si="42"/>
        <v>26384.5</v>
      </c>
      <c r="J552" s="89">
        <f t="shared" si="42"/>
        <v>369665.77</v>
      </c>
      <c r="K552" s="89">
        <f t="shared" si="42"/>
        <v>5944951.3200000003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9541.99</f>
        <v>9541.99</v>
      </c>
      <c r="G562" s="18">
        <f>729.92</f>
        <v>729.92</v>
      </c>
      <c r="H562" s="18"/>
      <c r="I562" s="18">
        <v>227.92</v>
      </c>
      <c r="J562" s="18"/>
      <c r="K562" s="18"/>
      <c r="L562" s="88">
        <f>SUM(F562:K562)</f>
        <v>10499.83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8135.66</f>
        <v>8135.66</v>
      </c>
      <c r="G563" s="18">
        <f>622.34</f>
        <v>622.34</v>
      </c>
      <c r="H563" s="18"/>
      <c r="I563" s="18">
        <v>194.33</v>
      </c>
      <c r="J563" s="18"/>
      <c r="K563" s="18"/>
      <c r="L563" s="88">
        <f>SUM(F563:K563)</f>
        <v>8952.33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8487.15</f>
        <v>8487.15</v>
      </c>
      <c r="G564" s="18">
        <f>649.22</f>
        <v>649.22</v>
      </c>
      <c r="H564" s="18"/>
      <c r="I564" s="18">
        <v>202.73</v>
      </c>
      <c r="J564" s="18"/>
      <c r="K564" s="18"/>
      <c r="L564" s="88">
        <f>SUM(F564:K564)</f>
        <v>9339.0999999999985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26164.800000000003</v>
      </c>
      <c r="G565" s="89">
        <f t="shared" si="44"/>
        <v>2001.48</v>
      </c>
      <c r="H565" s="89">
        <f t="shared" si="44"/>
        <v>0</v>
      </c>
      <c r="I565" s="89">
        <f t="shared" si="44"/>
        <v>624.98</v>
      </c>
      <c r="J565" s="89">
        <f t="shared" si="44"/>
        <v>0</v>
      </c>
      <c r="K565" s="89">
        <f t="shared" si="44"/>
        <v>0</v>
      </c>
      <c r="L565" s="89">
        <f t="shared" si="44"/>
        <v>28791.26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26164.800000000003</v>
      </c>
      <c r="G571" s="89">
        <f t="shared" ref="G571:L571" si="46">G560+G565+G570</f>
        <v>2001.48</v>
      </c>
      <c r="H571" s="89">
        <f t="shared" si="46"/>
        <v>0</v>
      </c>
      <c r="I571" s="89">
        <f t="shared" si="46"/>
        <v>624.98</v>
      </c>
      <c r="J571" s="89">
        <f t="shared" si="46"/>
        <v>0</v>
      </c>
      <c r="K571" s="89">
        <f t="shared" si="46"/>
        <v>0</v>
      </c>
      <c r="L571" s="89">
        <f t="shared" si="46"/>
        <v>28791.26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950</v>
      </c>
      <c r="I575" s="87">
        <f>SUM(F575:H575)</f>
        <v>950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20067.939999999999</v>
      </c>
      <c r="G579" s="18"/>
      <c r="H579" s="18">
        <v>445</v>
      </c>
      <c r="I579" s="87">
        <f t="shared" si="47"/>
        <v>20512.939999999999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133585.39000000001</v>
      </c>
      <c r="G582" s="18">
        <v>400969.17</v>
      </c>
      <c r="H582" s="18">
        <v>199622.46</v>
      </c>
      <c r="I582" s="87">
        <f t="shared" si="47"/>
        <v>734177.02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30966.41</v>
      </c>
      <c r="G583" s="18"/>
      <c r="H583" s="18">
        <v>244873.03</v>
      </c>
      <c r="I583" s="87">
        <f t="shared" si="47"/>
        <v>275839.44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114689</v>
      </c>
      <c r="I584" s="87">
        <f t="shared" si="47"/>
        <v>114689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163683.43</v>
      </c>
      <c r="I591" s="18">
        <v>143223</v>
      </c>
      <c r="J591" s="18">
        <f>173320.57-50558</f>
        <v>122762.57</v>
      </c>
      <c r="K591" s="104">
        <f t="shared" ref="K591:K597" si="48">SUM(H591:J591)</f>
        <v>429669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44373.46+59956.52</f>
        <v>104329.98</v>
      </c>
      <c r="I592" s="18">
        <f>73955.77+17986.96</f>
        <v>91942.73000000001</v>
      </c>
      <c r="J592" s="18">
        <f>147911.54+25481.52</f>
        <v>173393.06</v>
      </c>
      <c r="K592" s="104">
        <f t="shared" si="48"/>
        <v>369665.77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50558</f>
        <v>50558</v>
      </c>
      <c r="K593" s="104">
        <f t="shared" si="48"/>
        <v>50558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5234.96</v>
      </c>
      <c r="J594" s="18">
        <v>33979.11</v>
      </c>
      <c r="K594" s="104">
        <f t="shared" si="48"/>
        <v>39214.07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2100</f>
        <v>2100</v>
      </c>
      <c r="I595" s="18">
        <v>1961.47</v>
      </c>
      <c r="J595" s="18">
        <v>5313.55</v>
      </c>
      <c r="K595" s="104">
        <f t="shared" si="48"/>
        <v>9375.02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5373.55</v>
      </c>
      <c r="I596" s="18">
        <v>4581.58</v>
      </c>
      <c r="J596" s="18"/>
      <c r="K596" s="104">
        <f t="shared" si="48"/>
        <v>9955.130000000001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6084.34</v>
      </c>
      <c r="I597" s="18">
        <v>6084.33</v>
      </c>
      <c r="J597" s="18">
        <v>6084.33</v>
      </c>
      <c r="K597" s="104">
        <f t="shared" si="48"/>
        <v>18253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281571.3</v>
      </c>
      <c r="I598" s="108">
        <f>SUM(I591:I597)</f>
        <v>253028.06999999998</v>
      </c>
      <c r="J598" s="108">
        <f>SUM(J591:J597)</f>
        <v>392090.62</v>
      </c>
      <c r="K598" s="108">
        <f>SUM(K591:K597)</f>
        <v>926689.99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28105.22+6700.56+6452.8</f>
        <v>41258.58</v>
      </c>
      <c r="I604" s="18">
        <f>31702.4+5713.02+6452.8</f>
        <v>43868.22</v>
      </c>
      <c r="J604" s="18">
        <f>54712.3+5959.84+25412</f>
        <v>86084.14</v>
      </c>
      <c r="K604" s="104">
        <f>SUM(H604:J604)</f>
        <v>171210.94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41258.58</v>
      </c>
      <c r="I605" s="108">
        <f>SUM(I602:I604)</f>
        <v>43868.22</v>
      </c>
      <c r="J605" s="108">
        <f>SUM(J602:J604)</f>
        <v>86084.14</v>
      </c>
      <c r="K605" s="108">
        <f>SUM(K602:K604)</f>
        <v>171210.94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3200</v>
      </c>
      <c r="G612" s="18">
        <f>746.26</f>
        <v>746.26</v>
      </c>
      <c r="H612" s="18"/>
      <c r="I612" s="18"/>
      <c r="J612" s="18"/>
      <c r="K612" s="18"/>
      <c r="L612" s="88">
        <f>SUM(F612:K612)</f>
        <v>3946.26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12320</v>
      </c>
      <c r="G613" s="18">
        <v>2873.02</v>
      </c>
      <c r="H613" s="18"/>
      <c r="I613" s="18"/>
      <c r="J613" s="18"/>
      <c r="K613" s="18"/>
      <c r="L613" s="88">
        <f>SUM(F613:K613)</f>
        <v>15193.02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15520</v>
      </c>
      <c r="G614" s="108">
        <f t="shared" si="49"/>
        <v>3619.2799999999997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19139.28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1433554.2399999998</v>
      </c>
      <c r="H617" s="109">
        <f>SUM(F52)</f>
        <v>1433554.24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13063.06</v>
      </c>
      <c r="H618" s="109">
        <f>SUM(G52)</f>
        <v>13063.06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159232.20000000001</v>
      </c>
      <c r="H619" s="109">
        <f>SUM(H52)</f>
        <v>159232.20000000001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689699.81</v>
      </c>
      <c r="H621" s="109">
        <f>SUM(J52)</f>
        <v>689699.81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751565.73</v>
      </c>
      <c r="H622" s="109">
        <f>F476</f>
        <v>751565.73000000045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689699.81</v>
      </c>
      <c r="H626" s="109">
        <f>J476</f>
        <v>689699.80999999994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21859201.090000004</v>
      </c>
      <c r="H627" s="104">
        <f>SUM(F468)</f>
        <v>21859201.09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531230.13</v>
      </c>
      <c r="H628" s="104">
        <f>SUM(G468)</f>
        <v>531230.13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884165.12000000011</v>
      </c>
      <c r="H629" s="104">
        <f>SUM(H468)</f>
        <v>884165.12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28.15</v>
      </c>
      <c r="H630" s="104">
        <f>SUM(I468)</f>
        <v>28.15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220464.1</v>
      </c>
      <c r="H631" s="104">
        <f>SUM(J468)</f>
        <v>220464.1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21595829.530000001</v>
      </c>
      <c r="H632" s="104">
        <f>SUM(F472)</f>
        <v>21595829.530000001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884165.12000000011</v>
      </c>
      <c r="H633" s="104">
        <f>SUM(H472)</f>
        <v>884165.12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197131.05000000002</v>
      </c>
      <c r="H634" s="104">
        <f>I369</f>
        <v>197131.05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531744.8600000001</v>
      </c>
      <c r="H635" s="104">
        <f>SUM(G472)</f>
        <v>531744.86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40608.730000000003</v>
      </c>
      <c r="H636" s="104">
        <f>SUM(I472)</f>
        <v>40608.730000000003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220464.09999999998</v>
      </c>
      <c r="H637" s="164">
        <f>SUM(J468)</f>
        <v>220464.1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178915.87</v>
      </c>
      <c r="H638" s="164">
        <f>SUM(J472)</f>
        <v>178915.87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612407.43000000005</v>
      </c>
      <c r="H639" s="104">
        <f>SUM(F461)</f>
        <v>612407.43000000005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77292.38</v>
      </c>
      <c r="H641" s="104">
        <f>SUM(H461)</f>
        <v>77292.38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689699.81</v>
      </c>
      <c r="H642" s="104">
        <f>SUM(I461)</f>
        <v>689699.81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6464.1</v>
      </c>
      <c r="H644" s="104">
        <f>H408</f>
        <v>6464.1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214000</v>
      </c>
      <c r="H645" s="104">
        <f>G408</f>
        <v>214000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220464.1</v>
      </c>
      <c r="H646" s="104">
        <f>L408</f>
        <v>220464.09999999998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926689.99</v>
      </c>
      <c r="H647" s="104">
        <f>L208+L226+L244</f>
        <v>926689.99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171210.94</v>
      </c>
      <c r="H648" s="104">
        <f>(J257+J338)-(J255+J336)</f>
        <v>171210.93999999997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281571.3</v>
      </c>
      <c r="H649" s="104">
        <f>H598</f>
        <v>281571.3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253028.06999999998</v>
      </c>
      <c r="H650" s="104">
        <f>I598</f>
        <v>253028.06999999998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392090.62000000005</v>
      </c>
      <c r="H651" s="104">
        <f>J598</f>
        <v>392090.62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35026.86</v>
      </c>
      <c r="H652" s="104">
        <f>K263+K345</f>
        <v>35026.86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 t="str">
        <f>K264</f>
        <v xml:space="preserve"> 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214000</v>
      </c>
      <c r="H655" s="104">
        <f>K266+K347</f>
        <v>214000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7378172.3699999992</v>
      </c>
      <c r="G660" s="19">
        <f>(L229+L309+L359)</f>
        <v>6772757.7900000019</v>
      </c>
      <c r="H660" s="19">
        <f>(L247+L328+L360)</f>
        <v>7387875.8300000001</v>
      </c>
      <c r="I660" s="19">
        <f>SUM(F660:H660)</f>
        <v>21538805.990000002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83704.568392027708</v>
      </c>
      <c r="G661" s="19">
        <f>(L359/IF(SUM(L358:L360)=0,1,SUM(L358:L360))*(SUM(G97:G110)))</f>
        <v>89971.231587779141</v>
      </c>
      <c r="H661" s="19">
        <f>(L360/IF(SUM(L358:L360)=0,1,SUM(L358:L360))*(SUM(G97:G110)))</f>
        <v>96141.120020193121</v>
      </c>
      <c r="I661" s="19">
        <f>SUM(F661:H661)</f>
        <v>269816.92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281571.3</v>
      </c>
      <c r="G662" s="19">
        <f>(L226+L306)-(J226+J306)</f>
        <v>253028.06999999998</v>
      </c>
      <c r="H662" s="19">
        <f>(L244+L325)-(J244+J325)</f>
        <v>392165.65000000008</v>
      </c>
      <c r="I662" s="19">
        <f>SUM(F662:H662)</f>
        <v>926765.02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225878.32</v>
      </c>
      <c r="G663" s="199">
        <f>SUM(G575:G587)+SUM(I602:I604)+L612</f>
        <v>448783.65</v>
      </c>
      <c r="H663" s="199">
        <f>SUM(H575:H587)+SUM(J602:J604)+L613</f>
        <v>661856.65</v>
      </c>
      <c r="I663" s="19">
        <f>SUM(F663:H663)</f>
        <v>1336518.6200000001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6787018.181607971</v>
      </c>
      <c r="G664" s="19">
        <f>G660-SUM(G661:G663)</f>
        <v>5980974.8384122225</v>
      </c>
      <c r="H664" s="19">
        <f>H660-SUM(H661:H663)</f>
        <v>6237712.4099798072</v>
      </c>
      <c r="I664" s="19">
        <f>I660-SUM(I661:I663)</f>
        <v>19005705.430000003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499.8</v>
      </c>
      <c r="G665" s="248">
        <v>406.98</v>
      </c>
      <c r="H665" s="248">
        <v>428.63</v>
      </c>
      <c r="I665" s="19">
        <f>SUM(F665:H665)</f>
        <v>1335.4099999999999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13579.47</v>
      </c>
      <c r="G667" s="19">
        <f>ROUND(G664/G665,2)</f>
        <v>14695.99</v>
      </c>
      <c r="H667" s="19">
        <f>ROUND(H664/H665,2)</f>
        <v>14552.67</v>
      </c>
      <c r="I667" s="19">
        <f>ROUND(I664/I665,2)</f>
        <v>14232.11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-15.06</v>
      </c>
      <c r="I670" s="19">
        <f>SUM(F670:H670)</f>
        <v>-15.06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13579.47</v>
      </c>
      <c r="G672" s="19">
        <f>ROUND((G664+G669)/(G665+G670),2)</f>
        <v>14695.99</v>
      </c>
      <c r="H672" s="19">
        <f>ROUND((H664+H669)/(H665+H670),2)</f>
        <v>15082.6</v>
      </c>
      <c r="I672" s="19">
        <f>ROUND((I664+I669)/(I665+I670),2)</f>
        <v>14394.44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L27" sqref="L2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RAYMOND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88" t="s">
        <v>784</v>
      </c>
      <c r="B3" s="288"/>
      <c r="C3" s="28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87" t="s">
        <v>783</v>
      </c>
      <c r="C6" s="287"/>
    </row>
    <row r="7" spans="1:3" x14ac:dyDescent="0.2">
      <c r="A7" s="239" t="s">
        <v>786</v>
      </c>
      <c r="B7" s="285" t="s">
        <v>782</v>
      </c>
      <c r="C7" s="28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5233224.84</v>
      </c>
      <c r="C9" s="229">
        <f>'DOE25'!G197+'DOE25'!G215+'DOE25'!G233+'DOE25'!G276+'DOE25'!G295+'DOE25'!G314</f>
        <v>2747060.58</v>
      </c>
    </row>
    <row r="10" spans="1:3" x14ac:dyDescent="0.2">
      <c r="A10" t="s">
        <v>779</v>
      </c>
      <c r="B10" s="240">
        <v>4759540.58</v>
      </c>
      <c r="C10" s="240">
        <v>2567459.6800000002</v>
      </c>
    </row>
    <row r="11" spans="1:3" x14ac:dyDescent="0.2">
      <c r="A11" t="s">
        <v>780</v>
      </c>
      <c r="B11" s="240">
        <v>142494.09</v>
      </c>
      <c r="C11" s="240">
        <v>95735.5</v>
      </c>
    </row>
    <row r="12" spans="1:3" x14ac:dyDescent="0.2">
      <c r="A12" t="s">
        <v>781</v>
      </c>
      <c r="B12" s="240">
        <v>331190.17</v>
      </c>
      <c r="C12" s="240">
        <v>83865.399999999994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5233224.84</v>
      </c>
      <c r="C13" s="231">
        <f>SUM(C10:C12)</f>
        <v>2747060.58</v>
      </c>
    </row>
    <row r="14" spans="1:3" x14ac:dyDescent="0.2">
      <c r="B14" s="230"/>
      <c r="C14" s="230"/>
    </row>
    <row r="15" spans="1:3" x14ac:dyDescent="0.2">
      <c r="B15" s="287" t="s">
        <v>783</v>
      </c>
      <c r="C15" s="287"/>
    </row>
    <row r="16" spans="1:3" x14ac:dyDescent="0.2">
      <c r="A16" s="239" t="s">
        <v>787</v>
      </c>
      <c r="B16" s="285" t="s">
        <v>707</v>
      </c>
      <c r="C16" s="28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1903506.41</v>
      </c>
      <c r="C18" s="229">
        <f>'DOE25'!G198+'DOE25'!G216+'DOE25'!G234+'DOE25'!G277+'DOE25'!G296+'DOE25'!G315</f>
        <v>1366586.3399999999</v>
      </c>
    </row>
    <row r="19" spans="1:3" x14ac:dyDescent="0.2">
      <c r="A19" t="s">
        <v>779</v>
      </c>
      <c r="B19" s="240">
        <v>1096773.6599999999</v>
      </c>
      <c r="C19" s="240">
        <v>628973.30000000005</v>
      </c>
    </row>
    <row r="20" spans="1:3" x14ac:dyDescent="0.2">
      <c r="A20" t="s">
        <v>780</v>
      </c>
      <c r="B20" s="240">
        <v>804087.75</v>
      </c>
      <c r="C20" s="240">
        <v>737410.35</v>
      </c>
    </row>
    <row r="21" spans="1:3" x14ac:dyDescent="0.2">
      <c r="A21" t="s">
        <v>781</v>
      </c>
      <c r="B21" s="240">
        <v>2645</v>
      </c>
      <c r="C21" s="240">
        <v>202.69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1903506.41</v>
      </c>
      <c r="C22" s="231">
        <f>SUM(C19:C21)</f>
        <v>1366586.3399999999</v>
      </c>
    </row>
    <row r="23" spans="1:3" x14ac:dyDescent="0.2">
      <c r="B23" s="230"/>
      <c r="C23" s="230"/>
    </row>
    <row r="24" spans="1:3" x14ac:dyDescent="0.2">
      <c r="B24" s="287" t="s">
        <v>783</v>
      </c>
      <c r="C24" s="287"/>
    </row>
    <row r="25" spans="1:3" x14ac:dyDescent="0.2">
      <c r="A25" s="239" t="s">
        <v>788</v>
      </c>
      <c r="B25" s="285" t="s">
        <v>708</v>
      </c>
      <c r="C25" s="28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87" t="s">
        <v>783</v>
      </c>
      <c r="C33" s="287"/>
    </row>
    <row r="34" spans="1:3" x14ac:dyDescent="0.2">
      <c r="A34" s="239" t="s">
        <v>789</v>
      </c>
      <c r="B34" s="285" t="s">
        <v>709</v>
      </c>
      <c r="C34" s="28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269228.28000000003</v>
      </c>
      <c r="C36" s="235">
        <f>'DOE25'!G200+'DOE25'!G218+'DOE25'!G236+'DOE25'!G279+'DOE25'!G298+'DOE25'!G317</f>
        <v>51005.429999999993</v>
      </c>
    </row>
    <row r="37" spans="1:3" x14ac:dyDescent="0.2">
      <c r="A37" t="s">
        <v>779</v>
      </c>
      <c r="B37" s="240">
        <v>87188</v>
      </c>
      <c r="C37" s="240">
        <v>19452.759999999998</v>
      </c>
    </row>
    <row r="38" spans="1:3" x14ac:dyDescent="0.2">
      <c r="A38" t="s">
        <v>780</v>
      </c>
      <c r="B38" s="240">
        <v>15070.69</v>
      </c>
      <c r="C38" s="240">
        <v>3213.04</v>
      </c>
    </row>
    <row r="39" spans="1:3" x14ac:dyDescent="0.2">
      <c r="A39" t="s">
        <v>781</v>
      </c>
      <c r="B39" s="240">
        <v>166969.59</v>
      </c>
      <c r="C39" s="240">
        <v>28339.63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269228.28000000003</v>
      </c>
      <c r="C40" s="231">
        <f>SUM(C37:C39)</f>
        <v>51005.43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7" t="s">
        <v>790</v>
      </c>
      <c r="B1" s="292"/>
      <c r="C1" s="292"/>
      <c r="D1" s="292"/>
      <c r="E1" s="292"/>
      <c r="F1" s="292"/>
      <c r="G1" s="292"/>
      <c r="H1" s="292"/>
      <c r="I1" s="181"/>
    </row>
    <row r="2" spans="1:9" x14ac:dyDescent="0.2">
      <c r="A2" s="33" t="s">
        <v>717</v>
      </c>
      <c r="B2" s="265" t="str">
        <f>'DOE25'!A2</f>
        <v>RAYMOND SCHOOL DISTRICT</v>
      </c>
      <c r="C2" s="181"/>
      <c r="D2" s="181" t="s">
        <v>792</v>
      </c>
      <c r="E2" s="181" t="s">
        <v>794</v>
      </c>
      <c r="F2" s="289" t="s">
        <v>821</v>
      </c>
      <c r="G2" s="290"/>
      <c r="H2" s="29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13227729.529999999</v>
      </c>
      <c r="D5" s="20">
        <f>SUM('DOE25'!L197:L200)+SUM('DOE25'!L215:L218)+SUM('DOE25'!L233:L236)-F5-G5</f>
        <v>13164058.199999999</v>
      </c>
      <c r="E5" s="243"/>
      <c r="F5" s="255">
        <f>SUM('DOE25'!J197:J200)+SUM('DOE25'!J215:J218)+SUM('DOE25'!J233:J236)</f>
        <v>46182.32</v>
      </c>
      <c r="G5" s="53">
        <f>SUM('DOE25'!K197:K200)+SUM('DOE25'!K215:K218)+SUM('DOE25'!K233:K236)</f>
        <v>17489.010000000002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1385698.8199999998</v>
      </c>
      <c r="D6" s="20">
        <f>'DOE25'!L202+'DOE25'!L220+'DOE25'!L238-F6-G6</f>
        <v>1385299.8199999998</v>
      </c>
      <c r="E6" s="243"/>
      <c r="F6" s="255">
        <f>'DOE25'!J202+'DOE25'!J220+'DOE25'!J238</f>
        <v>399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666591.23</v>
      </c>
      <c r="D7" s="20">
        <f>'DOE25'!L203+'DOE25'!L221+'DOE25'!L239-F7-G7</f>
        <v>589687.13</v>
      </c>
      <c r="E7" s="243"/>
      <c r="F7" s="255">
        <f>'DOE25'!J203+'DOE25'!J221+'DOE25'!J239</f>
        <v>76904.099999999991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491459.35000000009</v>
      </c>
      <c r="D8" s="243"/>
      <c r="E8" s="20">
        <f>'DOE25'!L204+'DOE25'!L222+'DOE25'!L240-F8-G8-D9-D11</f>
        <v>476288.45000000007</v>
      </c>
      <c r="F8" s="255">
        <f>'DOE25'!J204+'DOE25'!J222+'DOE25'!J240</f>
        <v>0</v>
      </c>
      <c r="G8" s="53">
        <f>'DOE25'!K204+'DOE25'!K222+'DOE25'!K240</f>
        <v>15170.899999999998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21627.09</v>
      </c>
      <c r="D9" s="244">
        <v>21627.09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16150</v>
      </c>
      <c r="D10" s="243"/>
      <c r="E10" s="244">
        <v>16150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247188.08</v>
      </c>
      <c r="D11" s="244">
        <v>247188.08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1241177.77</v>
      </c>
      <c r="D12" s="20">
        <f>'DOE25'!L205+'DOE25'!L223+'DOE25'!L241-F12-G12</f>
        <v>1233308.77</v>
      </c>
      <c r="E12" s="243"/>
      <c r="F12" s="255">
        <f>'DOE25'!J205+'DOE25'!J223+'DOE25'!J241</f>
        <v>0</v>
      </c>
      <c r="G12" s="53">
        <f>'DOE25'!K205+'DOE25'!K223+'DOE25'!K241</f>
        <v>7869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211292.21000000002</v>
      </c>
      <c r="D13" s="243"/>
      <c r="E13" s="20">
        <f>'DOE25'!L206+'DOE25'!L224+'DOE25'!L242-F13-G13</f>
        <v>203245.43000000002</v>
      </c>
      <c r="F13" s="255">
        <f>'DOE25'!J206+'DOE25'!J224+'DOE25'!J242</f>
        <v>0</v>
      </c>
      <c r="G13" s="53">
        <f>'DOE25'!K206+'DOE25'!K224+'DOE25'!K242</f>
        <v>8046.78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1731882.75</v>
      </c>
      <c r="D14" s="20">
        <f>'DOE25'!L207+'DOE25'!L225+'DOE25'!L243-F14-G14</f>
        <v>1722474.83</v>
      </c>
      <c r="E14" s="243"/>
      <c r="F14" s="255">
        <f>'DOE25'!J207+'DOE25'!J225+'DOE25'!J243</f>
        <v>9407.92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926689.99</v>
      </c>
      <c r="D15" s="20">
        <f>'DOE25'!L208+'DOE25'!L226+'DOE25'!L244-F15-G15</f>
        <v>926689.99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2619.73</v>
      </c>
      <c r="D16" s="243"/>
      <c r="E16" s="20">
        <f>'DOE25'!L209+'DOE25'!L227+'DOE25'!L245-F16-G16</f>
        <v>2619.73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17578.12</v>
      </c>
      <c r="D19" s="20">
        <f>'DOE25'!L253-F19-G19</f>
        <v>17578.12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8400</v>
      </c>
      <c r="D22" s="243"/>
      <c r="E22" s="243"/>
      <c r="F22" s="255">
        <f>'DOE25'!L255+'DOE25'!L336</f>
        <v>8400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1166868</v>
      </c>
      <c r="D25" s="243"/>
      <c r="E25" s="243"/>
      <c r="F25" s="258"/>
      <c r="G25" s="256"/>
      <c r="H25" s="257">
        <f>'DOE25'!L260+'DOE25'!L261+'DOE25'!L341+'DOE25'!L342</f>
        <v>1166868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350342.89000000013</v>
      </c>
      <c r="D29" s="20">
        <f>'DOE25'!L358+'DOE25'!L359+'DOE25'!L360-'DOE25'!I367-F29-G29</f>
        <v>346467.3600000001</v>
      </c>
      <c r="E29" s="243"/>
      <c r="F29" s="255">
        <f>'DOE25'!J358+'DOE25'!J359+'DOE25'!J360</f>
        <v>3079.0299999999997</v>
      </c>
      <c r="G29" s="53">
        <f>'DOE25'!K358+'DOE25'!K359+'DOE25'!K360</f>
        <v>796.5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853104.58000000007</v>
      </c>
      <c r="D31" s="20">
        <f>'DOE25'!L290+'DOE25'!L309+'DOE25'!L328+'DOE25'!L333+'DOE25'!L334+'DOE25'!L335-F31-G31</f>
        <v>814786.9800000001</v>
      </c>
      <c r="E31" s="243"/>
      <c r="F31" s="255">
        <f>'DOE25'!J290+'DOE25'!J309+'DOE25'!J328+'DOE25'!J333+'DOE25'!J334+'DOE25'!J335</f>
        <v>38317.599999999999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20469166.370000001</v>
      </c>
      <c r="E33" s="246">
        <f>SUM(E5:E31)</f>
        <v>698303.6100000001</v>
      </c>
      <c r="F33" s="246">
        <f>SUM(F5:F31)</f>
        <v>182689.97</v>
      </c>
      <c r="G33" s="246">
        <f>SUM(G5:G31)</f>
        <v>49372.19</v>
      </c>
      <c r="H33" s="246">
        <f>SUM(H5:H31)</f>
        <v>1166868</v>
      </c>
    </row>
    <row r="35" spans="2:8" ht="12" thickBot="1" x14ac:dyDescent="0.25">
      <c r="B35" s="253" t="s">
        <v>847</v>
      </c>
      <c r="D35" s="254">
        <f>E33</f>
        <v>698303.6100000001</v>
      </c>
      <c r="E35" s="249"/>
    </row>
    <row r="36" spans="2:8" ht="12" thickTop="1" x14ac:dyDescent="0.2">
      <c r="B36" t="s">
        <v>815</v>
      </c>
      <c r="D36" s="20">
        <f>D33</f>
        <v>20469166.370000001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RAYMOND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1267068.96</v>
      </c>
      <c r="D8" s="95">
        <f>'DOE25'!G9</f>
        <v>100</v>
      </c>
      <c r="E8" s="95">
        <f>'DOE25'!H9</f>
        <v>0</v>
      </c>
      <c r="F8" s="95">
        <f>'DOE25'!I9</f>
        <v>0</v>
      </c>
      <c r="G8" s="95">
        <f>'DOE25'!J9</f>
        <v>612407.43000000005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77292.38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163372.60999999999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12963.06</v>
      </c>
      <c r="E12" s="95">
        <f>'DOE25'!H13</f>
        <v>159232.20000000001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3112.67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1433554.2399999998</v>
      </c>
      <c r="D18" s="41">
        <f>SUM(D8:D17)</f>
        <v>13063.06</v>
      </c>
      <c r="E18" s="41">
        <f>SUM(E8:E17)</f>
        <v>159232.20000000001</v>
      </c>
      <c r="F18" s="41">
        <f>SUM(F8:F17)</f>
        <v>0</v>
      </c>
      <c r="G18" s="41">
        <f>SUM(G8:G17)</f>
        <v>689699.81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4140.41</v>
      </c>
      <c r="E21" s="95">
        <f>'DOE25'!H22</f>
        <v>159232.20000000001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489529.44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118439.42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74019.649999999994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8922.65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681988.51</v>
      </c>
      <c r="D31" s="41">
        <f>SUM(D21:D30)</f>
        <v>13063.06</v>
      </c>
      <c r="E31" s="41">
        <f>SUM(E21:E30)</f>
        <v>159232.20000000001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125000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689699.81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27507.25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599058.48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751565.73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689699.81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1433554.24</v>
      </c>
      <c r="D51" s="41">
        <f>D50+D31</f>
        <v>13063.06</v>
      </c>
      <c r="E51" s="41">
        <f>E50+E31</f>
        <v>159232.20000000001</v>
      </c>
      <c r="F51" s="41">
        <f>F50+F31</f>
        <v>0</v>
      </c>
      <c r="G51" s="41">
        <f>G50+G31</f>
        <v>689699.81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12692677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59800.799999999996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129.36000000000001</v>
      </c>
      <c r="D59" s="95">
        <f>'DOE25'!G96</f>
        <v>0</v>
      </c>
      <c r="E59" s="95">
        <f>'DOE25'!H96</f>
        <v>0</v>
      </c>
      <c r="F59" s="95">
        <f>'DOE25'!I96</f>
        <v>28.15</v>
      </c>
      <c r="G59" s="95">
        <f>'DOE25'!J96</f>
        <v>6464.1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250868.41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188387.22</v>
      </c>
      <c r="D61" s="95">
        <f>SUM('DOE25'!G98:G110)</f>
        <v>18948.509999999998</v>
      </c>
      <c r="E61" s="95">
        <f>SUM('DOE25'!H98:H110)</f>
        <v>75.03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248317.38</v>
      </c>
      <c r="D62" s="130">
        <f>SUM(D57:D61)</f>
        <v>269816.92</v>
      </c>
      <c r="E62" s="130">
        <f>SUM(E57:E61)</f>
        <v>75.03</v>
      </c>
      <c r="F62" s="130">
        <f>SUM(F57:F61)</f>
        <v>28.15</v>
      </c>
      <c r="G62" s="130">
        <f>SUM(G57:G61)</f>
        <v>6464.1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12940994.380000001</v>
      </c>
      <c r="D63" s="22">
        <f>D56+D62</f>
        <v>269816.92</v>
      </c>
      <c r="E63" s="22">
        <f>E56+E62</f>
        <v>75.03</v>
      </c>
      <c r="F63" s="22">
        <f>F56+F62</f>
        <v>28.15</v>
      </c>
      <c r="G63" s="22">
        <f>G56+G62</f>
        <v>6464.1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5775188.1699999999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1947468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7722656.1699999999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394962.32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404658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29187.200000000001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11291.88</v>
      </c>
      <c r="D77" s="95">
        <f>SUM('DOE25'!G131:G135)</f>
        <v>7100.01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840099.4</v>
      </c>
      <c r="D78" s="130">
        <f>SUM(D72:D77)</f>
        <v>7100.01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8562755.5700000003</v>
      </c>
      <c r="D81" s="130">
        <f>SUM(D79:D80)+D78+D70</f>
        <v>7100.01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285981.87</v>
      </c>
      <c r="D88" s="95">
        <f>SUM('DOE25'!G153:G161)</f>
        <v>219286.34</v>
      </c>
      <c r="E88" s="95">
        <f>SUM('DOE25'!H153:H161)</f>
        <v>884090.09000000008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285981.87</v>
      </c>
      <c r="D91" s="131">
        <f>SUM(D85:D90)</f>
        <v>219286.34</v>
      </c>
      <c r="E91" s="131">
        <f>SUM(E85:E90)</f>
        <v>884090.09000000008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35026.86</v>
      </c>
      <c r="E96" s="95">
        <f>'DOE25'!H179</f>
        <v>0</v>
      </c>
      <c r="F96" s="95">
        <f>'DOE25'!I179</f>
        <v>0</v>
      </c>
      <c r="G96" s="95">
        <f>'DOE25'!J179</f>
        <v>214000</v>
      </c>
    </row>
    <row r="97" spans="1:7" x14ac:dyDescent="0.2">
      <c r="A97" t="s">
        <v>758</v>
      </c>
      <c r="B97" s="32" t="s">
        <v>188</v>
      </c>
      <c r="C97" s="95">
        <f>SUM('DOE25'!F180:F181)</f>
        <v>31060.54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38408.730000000003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69469.27</v>
      </c>
      <c r="D103" s="86">
        <f>SUM(D93:D102)</f>
        <v>35026.86</v>
      </c>
      <c r="E103" s="86">
        <f>SUM(E93:E102)</f>
        <v>0</v>
      </c>
      <c r="F103" s="86">
        <f>SUM(F93:F102)</f>
        <v>0</v>
      </c>
      <c r="G103" s="86">
        <f>SUM(G93:G102)</f>
        <v>214000</v>
      </c>
    </row>
    <row r="104" spans="1:7" ht="12.75" thickTop="1" thickBot="1" x14ac:dyDescent="0.25">
      <c r="A104" s="33" t="s">
        <v>765</v>
      </c>
      <c r="C104" s="86">
        <f>C63+C81+C91+C103</f>
        <v>21859201.090000004</v>
      </c>
      <c r="D104" s="86">
        <f>D63+D81+D91+D103</f>
        <v>531230.13</v>
      </c>
      <c r="E104" s="86">
        <f>E63+E81+E91+E103</f>
        <v>884165.12000000011</v>
      </c>
      <c r="F104" s="86">
        <f>F63+F81+F91+F103</f>
        <v>28.15</v>
      </c>
      <c r="G104" s="86">
        <f>G63+G81+G103</f>
        <v>220464.1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8103017.370000001</v>
      </c>
      <c r="D109" s="24" t="s">
        <v>289</v>
      </c>
      <c r="E109" s="95">
        <f>('DOE25'!L276)+('DOE25'!L295)+('DOE25'!L314)</f>
        <v>224963.1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4722112.66</v>
      </c>
      <c r="D110" s="24" t="s">
        <v>289</v>
      </c>
      <c r="E110" s="95">
        <f>('DOE25'!L277)+('DOE25'!L296)+('DOE25'!L315)</f>
        <v>278422.90000000002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114689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287910.5</v>
      </c>
      <c r="D112" s="24" t="s">
        <v>289</v>
      </c>
      <c r="E112" s="95">
        <f>+('DOE25'!L279)+('DOE25'!L298)+('DOE25'!L317)</f>
        <v>175585.82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17578.12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13245307.65</v>
      </c>
      <c r="D115" s="86">
        <f>SUM(D109:D114)</f>
        <v>0</v>
      </c>
      <c r="E115" s="86">
        <f>SUM(E109:E114)</f>
        <v>678971.82000000007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1385698.8199999998</v>
      </c>
      <c r="D118" s="24" t="s">
        <v>289</v>
      </c>
      <c r="E118" s="95">
        <f>+('DOE25'!L281)+('DOE25'!L300)+('DOE25'!L319)</f>
        <v>80750.42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666591.23</v>
      </c>
      <c r="D119" s="24" t="s">
        <v>289</v>
      </c>
      <c r="E119" s="95">
        <f>+('DOE25'!L282)+('DOE25'!L301)+('DOE25'!L320)</f>
        <v>73307.31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760274.52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1241177.77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211292.21000000002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1731882.75</v>
      </c>
      <c r="D123" s="24" t="s">
        <v>289</v>
      </c>
      <c r="E123" s="95">
        <f>+('DOE25'!L286)+('DOE25'!L305)+('DOE25'!L324)</f>
        <v>20000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926689.99</v>
      </c>
      <c r="D124" s="24" t="s">
        <v>289</v>
      </c>
      <c r="E124" s="95">
        <f>+('DOE25'!L287)+('DOE25'!L306)+('DOE25'!L325)</f>
        <v>75.03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2619.73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531744.8600000001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6926227.0200000005</v>
      </c>
      <c r="D128" s="86">
        <f>SUM(D118:D127)</f>
        <v>531744.8600000001</v>
      </c>
      <c r="E128" s="86">
        <f>SUM(E118:E127)</f>
        <v>174132.75999999998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8400</v>
      </c>
      <c r="D130" s="24" t="s">
        <v>289</v>
      </c>
      <c r="E130" s="129">
        <f>'DOE25'!L336</f>
        <v>0</v>
      </c>
      <c r="F130" s="129">
        <f>SUM('DOE25'!L374:'DOE25'!L380)</f>
        <v>2200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758949.2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407918.8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31060.54</v>
      </c>
      <c r="F134" s="95">
        <f>'DOE25'!K381</f>
        <v>38408.730000000003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35026.86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217572.43999999997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2891.66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-6464.0999999999767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1424294.8599999999</v>
      </c>
      <c r="D144" s="141">
        <f>SUM(D130:D143)</f>
        <v>0</v>
      </c>
      <c r="E144" s="141">
        <f>SUM(E130:E143)</f>
        <v>31060.54</v>
      </c>
      <c r="F144" s="141">
        <f>SUM(F130:F143)</f>
        <v>40608.730000000003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21595829.530000001</v>
      </c>
      <c r="D145" s="86">
        <f>(D115+D128+D144)</f>
        <v>531744.8600000001</v>
      </c>
      <c r="E145" s="86">
        <f>(E115+E128+E144)</f>
        <v>884165.12000000011</v>
      </c>
      <c r="F145" s="86">
        <f>(F115+F128+F144)</f>
        <v>40608.730000000003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8/05</v>
      </c>
      <c r="C152" s="152" t="str">
        <f>'DOE25'!G491</f>
        <v>8/14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8/25</v>
      </c>
      <c r="C153" s="152" t="str">
        <f>'DOE25'!G492</f>
        <v>8/24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13402490</v>
      </c>
      <c r="C154" s="137">
        <f>'DOE25'!G493</f>
        <v>1060000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4.13</v>
      </c>
      <c r="C155" s="137">
        <f>'DOE25'!G494</f>
        <v>5.0999999999999996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5739776.9500000002</v>
      </c>
      <c r="C156" s="137">
        <f>'DOE25'!G495</f>
        <v>1060000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6799776.9500000002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648949.19999999995</v>
      </c>
      <c r="C158" s="137">
        <f>'DOE25'!G497</f>
        <v>110000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758949.2</v>
      </c>
    </row>
    <row r="159" spans="1:9" x14ac:dyDescent="0.2">
      <c r="A159" s="22" t="s">
        <v>35</v>
      </c>
      <c r="B159" s="137">
        <f>'DOE25'!F498</f>
        <v>5090827.75</v>
      </c>
      <c r="C159" s="137">
        <f>'DOE25'!G498</f>
        <v>950000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6040827.75</v>
      </c>
    </row>
    <row r="160" spans="1:9" x14ac:dyDescent="0.2">
      <c r="A160" s="22" t="s">
        <v>36</v>
      </c>
      <c r="B160" s="137">
        <f>'DOE25'!F499</f>
        <v>4679963.25</v>
      </c>
      <c r="C160" s="137">
        <f>'DOE25'!G499</f>
        <v>217005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4896968.25</v>
      </c>
    </row>
    <row r="161" spans="1:7" x14ac:dyDescent="0.2">
      <c r="A161" s="22" t="s">
        <v>37</v>
      </c>
      <c r="B161" s="137">
        <f>'DOE25'!F500</f>
        <v>9770791</v>
      </c>
      <c r="C161" s="137">
        <f>'DOE25'!G500</f>
        <v>1167005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10937796</v>
      </c>
    </row>
    <row r="162" spans="1:7" x14ac:dyDescent="0.2">
      <c r="A162" s="22" t="s">
        <v>38</v>
      </c>
      <c r="B162" s="137">
        <f>'DOE25'!F501</f>
        <v>619248.27</v>
      </c>
      <c r="C162" s="137">
        <f>'DOE25'!G501</f>
        <v>110000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729248.27</v>
      </c>
    </row>
    <row r="163" spans="1:7" x14ac:dyDescent="0.2">
      <c r="A163" s="22" t="s">
        <v>39</v>
      </c>
      <c r="B163" s="137">
        <f>'DOE25'!F502</f>
        <v>383614.73</v>
      </c>
      <c r="C163" s="137">
        <f>'DOE25'!G502</f>
        <v>45645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429259.73</v>
      </c>
    </row>
    <row r="164" spans="1:7" x14ac:dyDescent="0.2">
      <c r="A164" s="22" t="s">
        <v>246</v>
      </c>
      <c r="B164" s="137">
        <f>'DOE25'!F503</f>
        <v>1002863</v>
      </c>
      <c r="C164" s="137">
        <f>'DOE25'!G503</f>
        <v>155645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1158508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93" t="s">
        <v>740</v>
      </c>
      <c r="B1" s="293"/>
      <c r="C1" s="293"/>
      <c r="D1" s="293"/>
    </row>
    <row r="2" spans="1:4" x14ac:dyDescent="0.2">
      <c r="A2" s="187" t="s">
        <v>717</v>
      </c>
      <c r="B2" s="186" t="str">
        <f>'DOE25'!A2</f>
        <v>RAYMOND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13579</v>
      </c>
    </row>
    <row r="5" spans="1:4" x14ac:dyDescent="0.2">
      <c r="B5" t="s">
        <v>704</v>
      </c>
      <c r="C5" s="179">
        <f>IF('DOE25'!G665+'DOE25'!G670=0,0,ROUND('DOE25'!G672,0))</f>
        <v>14696</v>
      </c>
    </row>
    <row r="6" spans="1:4" x14ac:dyDescent="0.2">
      <c r="B6" t="s">
        <v>62</v>
      </c>
      <c r="C6" s="179">
        <f>IF('DOE25'!H665+'DOE25'!H670=0,0,ROUND('DOE25'!H672,0))</f>
        <v>15083</v>
      </c>
    </row>
    <row r="7" spans="1:4" x14ac:dyDescent="0.2">
      <c r="B7" t="s">
        <v>705</v>
      </c>
      <c r="C7" s="179">
        <f>IF('DOE25'!I665+'DOE25'!I670=0,0,ROUND('DOE25'!I672,0))</f>
        <v>14394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8327980</v>
      </c>
      <c r="D10" s="182">
        <f>ROUND((C10/$C$28)*100,1)</f>
        <v>38.4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5000536</v>
      </c>
      <c r="D11" s="182">
        <f>ROUND((C11/$C$28)*100,1)</f>
        <v>23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114689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463496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1466449</v>
      </c>
      <c r="D15" s="182">
        <f t="shared" ref="D15:D27" si="0">ROUND((C15/$C$28)*100,1)</f>
        <v>6.8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739899</v>
      </c>
      <c r="D16" s="182">
        <f t="shared" si="0"/>
        <v>3.4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762894</v>
      </c>
      <c r="D17" s="182">
        <f t="shared" si="0"/>
        <v>3.5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1241178</v>
      </c>
      <c r="D18" s="182">
        <f t="shared" si="0"/>
        <v>5.7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211292</v>
      </c>
      <c r="D19" s="182">
        <f t="shared" si="0"/>
        <v>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1751883</v>
      </c>
      <c r="D20" s="182">
        <f t="shared" si="0"/>
        <v>8.1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926765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17578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407919</v>
      </c>
      <c r="D25" s="182">
        <f t="shared" si="0"/>
        <v>1.9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261928.08000000002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21694486.079999998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10600</v>
      </c>
    </row>
    <row r="30" spans="1:4" x14ac:dyDescent="0.2">
      <c r="B30" s="187" t="s">
        <v>729</v>
      </c>
      <c r="C30" s="180">
        <f>SUM(C28:C29)</f>
        <v>21705086.079999998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758949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12692677</v>
      </c>
      <c r="D35" s="182">
        <f t="shared" ref="D35:D40" si="1">ROUND((C35/$C$41)*100,1)</f>
        <v>55.4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254884.66000000015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7722656</v>
      </c>
      <c r="D37" s="182">
        <f t="shared" si="1"/>
        <v>33.700000000000003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847199</v>
      </c>
      <c r="D38" s="182">
        <f t="shared" si="1"/>
        <v>3.7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1389358</v>
      </c>
      <c r="D39" s="182">
        <f t="shared" si="1"/>
        <v>6.1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22906774.66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5"/>
  <sheetViews>
    <sheetView workbookViewId="0">
      <pane ySplit="3" topLeftCell="A4" activePane="bottomLeft" state="frozen"/>
      <selection activeCell="F46" sqref="F46"/>
      <selection pane="bottomLeft" activeCell="C29" sqref="C2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300" t="s">
        <v>770</v>
      </c>
      <c r="B1" s="301"/>
      <c r="C1" s="301"/>
      <c r="D1" s="301"/>
      <c r="E1" s="301"/>
      <c r="F1" s="301"/>
      <c r="G1" s="301"/>
      <c r="H1" s="301"/>
      <c r="I1" s="301"/>
      <c r="J1" s="213"/>
      <c r="K1" s="213"/>
      <c r="L1" s="213"/>
      <c r="M1" s="214"/>
    </row>
    <row r="2" spans="1:26" ht="12.75" x14ac:dyDescent="0.2">
      <c r="A2" s="306" t="s">
        <v>767</v>
      </c>
      <c r="B2" s="307"/>
      <c r="C2" s="307"/>
      <c r="D2" s="307"/>
      <c r="E2" s="307"/>
      <c r="F2" s="304" t="str">
        <f>'DOE25'!A2</f>
        <v>RAYMOND SCHOOL DISTRICT</v>
      </c>
      <c r="G2" s="305"/>
      <c r="H2" s="305"/>
      <c r="I2" s="305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302" t="s">
        <v>771</v>
      </c>
      <c r="D3" s="302"/>
      <c r="E3" s="302"/>
      <c r="F3" s="302"/>
      <c r="G3" s="302"/>
      <c r="H3" s="302"/>
      <c r="I3" s="302"/>
      <c r="J3" s="302"/>
      <c r="K3" s="302"/>
      <c r="L3" s="302"/>
      <c r="M3" s="303"/>
    </row>
    <row r="4" spans="1:26" x14ac:dyDescent="0.2">
      <c r="A4" s="218"/>
      <c r="B4" s="219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83">
        <v>2</v>
      </c>
      <c r="B5" s="284">
        <v>3</v>
      </c>
      <c r="C5" s="294" t="s">
        <v>915</v>
      </c>
      <c r="D5" s="294"/>
      <c r="E5" s="294"/>
      <c r="F5" s="294"/>
      <c r="G5" s="294"/>
      <c r="H5" s="294"/>
      <c r="I5" s="294"/>
      <c r="J5" s="294"/>
      <c r="K5" s="294"/>
      <c r="L5" s="294"/>
      <c r="M5" s="29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83"/>
      <c r="B6" s="284"/>
      <c r="C6" s="294" t="s">
        <v>287</v>
      </c>
      <c r="D6" s="294"/>
      <c r="E6" s="294"/>
      <c r="F6" s="294"/>
      <c r="G6" s="294"/>
      <c r="H6" s="294"/>
      <c r="I6" s="294"/>
      <c r="J6" s="294"/>
      <c r="K6" s="294"/>
      <c r="L6" s="294"/>
      <c r="M6" s="29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83">
        <v>3</v>
      </c>
      <c r="B7" s="284">
        <v>24</v>
      </c>
      <c r="C7" s="294" t="s">
        <v>930</v>
      </c>
      <c r="D7" s="294"/>
      <c r="E7" s="294"/>
      <c r="F7" s="294"/>
      <c r="G7" s="294"/>
      <c r="H7" s="294"/>
      <c r="I7" s="294"/>
      <c r="J7" s="294"/>
      <c r="K7" s="294"/>
      <c r="L7" s="294"/>
      <c r="M7" s="29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83"/>
      <c r="B8" s="284"/>
      <c r="C8" s="294" t="s">
        <v>913</v>
      </c>
      <c r="D8" s="294"/>
      <c r="E8" s="294"/>
      <c r="F8" s="294"/>
      <c r="G8" s="294"/>
      <c r="H8" s="294"/>
      <c r="I8" s="294"/>
      <c r="J8" s="294"/>
      <c r="K8" s="294"/>
      <c r="L8" s="294"/>
      <c r="M8" s="29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83"/>
      <c r="B9" s="284"/>
      <c r="C9" s="275" t="s">
        <v>922</v>
      </c>
      <c r="D9" s="275"/>
      <c r="E9" s="275"/>
      <c r="F9" s="275"/>
      <c r="G9" s="275"/>
      <c r="H9" s="275"/>
      <c r="I9" s="275"/>
      <c r="J9" s="275"/>
      <c r="K9" s="275"/>
      <c r="L9" s="275"/>
      <c r="M9" s="27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83"/>
      <c r="B10" s="284"/>
      <c r="C10" s="277" t="s">
        <v>924</v>
      </c>
      <c r="D10" s="277"/>
      <c r="E10" s="277"/>
      <c r="F10" s="277"/>
      <c r="G10" s="277"/>
      <c r="H10" s="277"/>
      <c r="I10" s="277"/>
      <c r="J10" s="277"/>
      <c r="K10" s="277"/>
      <c r="L10" s="277"/>
      <c r="M10" s="27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83"/>
      <c r="B11" s="284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83">
        <v>4</v>
      </c>
      <c r="B12" s="284">
        <v>18</v>
      </c>
      <c r="C12" s="275" t="s">
        <v>914</v>
      </c>
      <c r="D12" s="275"/>
      <c r="E12" s="275"/>
      <c r="F12" s="275"/>
      <c r="G12" s="275"/>
      <c r="H12" s="275"/>
      <c r="I12" s="275"/>
      <c r="J12" s="275"/>
      <c r="K12" s="275"/>
      <c r="L12" s="275"/>
      <c r="M12" s="27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83"/>
      <c r="B13" s="284"/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83">
        <v>5</v>
      </c>
      <c r="B14" s="284">
        <v>14</v>
      </c>
      <c r="C14" s="277" t="s">
        <v>925</v>
      </c>
      <c r="D14" s="277"/>
      <c r="E14" s="277"/>
      <c r="F14" s="277"/>
      <c r="G14" s="277"/>
      <c r="H14" s="277"/>
      <c r="I14" s="277"/>
      <c r="J14" s="277"/>
      <c r="K14" s="277"/>
      <c r="L14" s="277"/>
      <c r="M14" s="27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83"/>
      <c r="B15" s="284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83">
        <v>6</v>
      </c>
      <c r="B16" s="284">
        <v>8</v>
      </c>
      <c r="C16" s="294" t="s">
        <v>920</v>
      </c>
      <c r="D16" s="294"/>
      <c r="E16" s="294"/>
      <c r="F16" s="294"/>
      <c r="G16" s="294"/>
      <c r="H16" s="294"/>
      <c r="I16" s="294"/>
      <c r="J16" s="294"/>
      <c r="K16" s="294"/>
      <c r="L16" s="294"/>
      <c r="M16" s="29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6" x14ac:dyDescent="0.2">
      <c r="A17" s="283"/>
      <c r="B17" s="28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6" x14ac:dyDescent="0.2">
      <c r="A18" s="283">
        <v>6</v>
      </c>
      <c r="B18" s="284">
        <v>9</v>
      </c>
      <c r="C18" s="294" t="s">
        <v>931</v>
      </c>
      <c r="D18" s="294"/>
      <c r="E18" s="294"/>
      <c r="F18" s="294"/>
      <c r="G18" s="294"/>
      <c r="H18" s="294"/>
      <c r="I18" s="294"/>
      <c r="J18" s="294"/>
      <c r="K18" s="294"/>
      <c r="L18" s="294"/>
      <c r="M18" s="29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6" x14ac:dyDescent="0.2">
      <c r="A19" s="283"/>
      <c r="B19" s="284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8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6" x14ac:dyDescent="0.2">
      <c r="A20" s="283">
        <v>10</v>
      </c>
      <c r="B20" s="284">
        <v>6</v>
      </c>
      <c r="C20" s="281" t="s">
        <v>926</v>
      </c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6" x14ac:dyDescent="0.2">
      <c r="A21" s="283"/>
      <c r="B21" s="284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6" x14ac:dyDescent="0.2">
      <c r="A22" s="283">
        <v>14</v>
      </c>
      <c r="B22" s="284">
        <v>10</v>
      </c>
      <c r="C22" s="281" t="s">
        <v>921</v>
      </c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6" x14ac:dyDescent="0.2">
      <c r="A23" s="283"/>
      <c r="B23" s="284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6" x14ac:dyDescent="0.2">
      <c r="A24" s="283">
        <v>17</v>
      </c>
      <c r="B24" s="284">
        <v>13</v>
      </c>
      <c r="C24" s="281" t="s">
        <v>927</v>
      </c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6" x14ac:dyDescent="0.2">
      <c r="A25" s="283"/>
      <c r="B25" s="284"/>
      <c r="C25" s="281" t="s">
        <v>932</v>
      </c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6" x14ac:dyDescent="0.2">
      <c r="A26" s="283"/>
      <c r="B26" s="284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6" x14ac:dyDescent="0.2">
      <c r="A27" s="283">
        <v>22</v>
      </c>
      <c r="B27" s="284">
        <v>14</v>
      </c>
      <c r="C27" s="281" t="s">
        <v>933</v>
      </c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6" x14ac:dyDescent="0.2">
      <c r="A28" s="283"/>
      <c r="B28" s="284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6" x14ac:dyDescent="0.2">
      <c r="A29" s="283">
        <v>22</v>
      </c>
      <c r="B29" s="284">
        <v>18</v>
      </c>
      <c r="C29" s="281" t="s">
        <v>934</v>
      </c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:26" x14ac:dyDescent="0.2">
      <c r="A30" s="283"/>
      <c r="B30" s="284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:26" x14ac:dyDescent="0.2">
      <c r="A31" s="283">
        <v>23</v>
      </c>
      <c r="B31" s="284">
        <v>6</v>
      </c>
      <c r="C31" s="281" t="s">
        <v>928</v>
      </c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:26" x14ac:dyDescent="0.2">
      <c r="A32" s="283"/>
      <c r="B32" s="284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:256" x14ac:dyDescent="0.2">
      <c r="A33" s="283">
        <v>23</v>
      </c>
      <c r="B33" s="284">
        <v>7</v>
      </c>
      <c r="C33" s="281" t="s">
        <v>929</v>
      </c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:256" x14ac:dyDescent="0.2">
      <c r="A34" s="218"/>
      <c r="B34" s="219"/>
      <c r="C34" s="294"/>
      <c r="D34" s="294"/>
      <c r="E34" s="294"/>
      <c r="F34" s="294"/>
      <c r="G34" s="294"/>
      <c r="H34" s="294"/>
      <c r="I34" s="294"/>
      <c r="J34" s="294"/>
      <c r="K34" s="294"/>
      <c r="L34" s="294"/>
      <c r="M34" s="295"/>
      <c r="N34" s="211"/>
      <c r="O34" s="211"/>
      <c r="P34" s="297"/>
      <c r="Q34" s="297"/>
      <c r="R34" s="297"/>
      <c r="S34" s="297"/>
      <c r="T34" s="297"/>
      <c r="U34" s="297"/>
      <c r="V34" s="297"/>
      <c r="W34" s="297"/>
      <c r="X34" s="297"/>
      <c r="Y34" s="297"/>
      <c r="Z34" s="297"/>
      <c r="AA34" s="207"/>
      <c r="AB34" s="207"/>
      <c r="AC34" s="296"/>
      <c r="AD34" s="296"/>
      <c r="AE34" s="296"/>
      <c r="AF34" s="296"/>
      <c r="AG34" s="296"/>
      <c r="AH34" s="296"/>
      <c r="AI34" s="296"/>
      <c r="AJ34" s="296"/>
      <c r="AK34" s="296"/>
      <c r="AL34" s="296"/>
      <c r="AM34" s="296"/>
      <c r="AN34" s="207"/>
      <c r="AO34" s="207"/>
      <c r="AP34" s="296"/>
      <c r="AQ34" s="296"/>
      <c r="AR34" s="296"/>
      <c r="AS34" s="296"/>
      <c r="AT34" s="296"/>
      <c r="AU34" s="296"/>
      <c r="AV34" s="296"/>
      <c r="AW34" s="296"/>
      <c r="AX34" s="296"/>
      <c r="AY34" s="296"/>
      <c r="AZ34" s="296"/>
      <c r="BA34" s="207"/>
      <c r="BB34" s="207"/>
      <c r="BC34" s="296"/>
      <c r="BD34" s="296"/>
      <c r="BE34" s="296"/>
      <c r="BF34" s="296"/>
      <c r="BG34" s="296"/>
      <c r="BH34" s="296"/>
      <c r="BI34" s="296"/>
      <c r="BJ34" s="296"/>
      <c r="BK34" s="296"/>
      <c r="BL34" s="296"/>
      <c r="BM34" s="296"/>
      <c r="BN34" s="207"/>
      <c r="BO34" s="207"/>
      <c r="BP34" s="296"/>
      <c r="BQ34" s="296"/>
      <c r="BR34" s="296"/>
      <c r="BS34" s="296"/>
      <c r="BT34" s="296"/>
      <c r="BU34" s="296"/>
      <c r="BV34" s="296"/>
      <c r="BW34" s="296"/>
      <c r="BX34" s="296"/>
      <c r="BY34" s="296"/>
      <c r="BZ34" s="296"/>
      <c r="CA34" s="207"/>
      <c r="CB34" s="207"/>
      <c r="CC34" s="296"/>
      <c r="CD34" s="296"/>
      <c r="CE34" s="296"/>
      <c r="CF34" s="296"/>
      <c r="CG34" s="296"/>
      <c r="CH34" s="296"/>
      <c r="CI34" s="296"/>
      <c r="CJ34" s="296"/>
      <c r="CK34" s="296"/>
      <c r="CL34" s="296"/>
      <c r="CM34" s="296"/>
      <c r="CN34" s="207"/>
      <c r="CO34" s="207"/>
      <c r="CP34" s="296"/>
      <c r="CQ34" s="296"/>
      <c r="CR34" s="296"/>
      <c r="CS34" s="296"/>
      <c r="CT34" s="296"/>
      <c r="CU34" s="296"/>
      <c r="CV34" s="296"/>
      <c r="CW34" s="296"/>
      <c r="CX34" s="296"/>
      <c r="CY34" s="296"/>
      <c r="CZ34" s="296"/>
      <c r="DA34" s="207"/>
      <c r="DB34" s="207"/>
      <c r="DC34" s="296"/>
      <c r="DD34" s="296"/>
      <c r="DE34" s="296"/>
      <c r="DF34" s="296"/>
      <c r="DG34" s="296"/>
      <c r="DH34" s="296"/>
      <c r="DI34" s="296"/>
      <c r="DJ34" s="296"/>
      <c r="DK34" s="296"/>
      <c r="DL34" s="296"/>
      <c r="DM34" s="296"/>
      <c r="DN34" s="207"/>
      <c r="DO34" s="207"/>
      <c r="DP34" s="296"/>
      <c r="DQ34" s="296"/>
      <c r="DR34" s="296"/>
      <c r="DS34" s="296"/>
      <c r="DT34" s="296"/>
      <c r="DU34" s="296"/>
      <c r="DV34" s="296"/>
      <c r="DW34" s="296"/>
      <c r="DX34" s="296"/>
      <c r="DY34" s="296"/>
      <c r="DZ34" s="296"/>
      <c r="EA34" s="207"/>
      <c r="EB34" s="207"/>
      <c r="EC34" s="296"/>
      <c r="ED34" s="296"/>
      <c r="EE34" s="296"/>
      <c r="EF34" s="296"/>
      <c r="EG34" s="296"/>
      <c r="EH34" s="296"/>
      <c r="EI34" s="296"/>
      <c r="EJ34" s="296"/>
      <c r="EK34" s="296"/>
      <c r="EL34" s="296"/>
      <c r="EM34" s="296"/>
      <c r="EN34" s="207"/>
      <c r="EO34" s="207"/>
      <c r="EP34" s="296"/>
      <c r="EQ34" s="296"/>
      <c r="ER34" s="296"/>
      <c r="ES34" s="296"/>
      <c r="ET34" s="296"/>
      <c r="EU34" s="296"/>
      <c r="EV34" s="296"/>
      <c r="EW34" s="296"/>
      <c r="EX34" s="296"/>
      <c r="EY34" s="296"/>
      <c r="EZ34" s="296"/>
      <c r="FA34" s="207"/>
      <c r="FB34" s="207"/>
      <c r="FC34" s="296"/>
      <c r="FD34" s="296"/>
      <c r="FE34" s="296"/>
      <c r="FF34" s="296"/>
      <c r="FG34" s="296"/>
      <c r="FH34" s="296"/>
      <c r="FI34" s="296"/>
      <c r="FJ34" s="296"/>
      <c r="FK34" s="296"/>
      <c r="FL34" s="296"/>
      <c r="FM34" s="296"/>
      <c r="FN34" s="207"/>
      <c r="FO34" s="207"/>
      <c r="FP34" s="296"/>
      <c r="FQ34" s="296"/>
      <c r="FR34" s="296"/>
      <c r="FS34" s="296"/>
      <c r="FT34" s="296"/>
      <c r="FU34" s="296"/>
      <c r="FV34" s="296"/>
      <c r="FW34" s="296"/>
      <c r="FX34" s="296"/>
      <c r="FY34" s="296"/>
      <c r="FZ34" s="296"/>
      <c r="GA34" s="207"/>
      <c r="GB34" s="207"/>
      <c r="GC34" s="296"/>
      <c r="GD34" s="296"/>
      <c r="GE34" s="296"/>
      <c r="GF34" s="296"/>
      <c r="GG34" s="296"/>
      <c r="GH34" s="296"/>
      <c r="GI34" s="296"/>
      <c r="GJ34" s="296"/>
      <c r="GK34" s="296"/>
      <c r="GL34" s="296"/>
      <c r="GM34" s="296"/>
      <c r="GN34" s="207"/>
      <c r="GO34" s="207"/>
      <c r="GP34" s="296"/>
      <c r="GQ34" s="296"/>
      <c r="GR34" s="296"/>
      <c r="GS34" s="296"/>
      <c r="GT34" s="296"/>
      <c r="GU34" s="296"/>
      <c r="GV34" s="296"/>
      <c r="GW34" s="296"/>
      <c r="GX34" s="296"/>
      <c r="GY34" s="296"/>
      <c r="GZ34" s="296"/>
      <c r="HA34" s="207"/>
      <c r="HB34" s="207"/>
      <c r="HC34" s="296"/>
      <c r="HD34" s="296"/>
      <c r="HE34" s="296"/>
      <c r="HF34" s="296"/>
      <c r="HG34" s="296"/>
      <c r="HH34" s="296"/>
      <c r="HI34" s="296"/>
      <c r="HJ34" s="296"/>
      <c r="HK34" s="296"/>
      <c r="HL34" s="296"/>
      <c r="HM34" s="296"/>
      <c r="HN34" s="207"/>
      <c r="HO34" s="207"/>
      <c r="HP34" s="296"/>
      <c r="HQ34" s="296"/>
      <c r="HR34" s="296"/>
      <c r="HS34" s="296"/>
      <c r="HT34" s="296"/>
      <c r="HU34" s="296"/>
      <c r="HV34" s="296"/>
      <c r="HW34" s="296"/>
      <c r="HX34" s="296"/>
      <c r="HY34" s="296"/>
      <c r="HZ34" s="296"/>
      <c r="IA34" s="207"/>
      <c r="IB34" s="207"/>
      <c r="IC34" s="296"/>
      <c r="ID34" s="296"/>
      <c r="IE34" s="296"/>
      <c r="IF34" s="296"/>
      <c r="IG34" s="296"/>
      <c r="IH34" s="296"/>
      <c r="II34" s="296"/>
      <c r="IJ34" s="296"/>
      <c r="IK34" s="296"/>
      <c r="IL34" s="296"/>
      <c r="IM34" s="296"/>
      <c r="IN34" s="207"/>
      <c r="IO34" s="207"/>
      <c r="IP34" s="296"/>
      <c r="IQ34" s="296"/>
      <c r="IR34" s="296"/>
      <c r="IS34" s="296"/>
      <c r="IT34" s="296"/>
      <c r="IU34" s="296"/>
      <c r="IV34" s="296"/>
    </row>
    <row r="35" spans="1:256" x14ac:dyDescent="0.2">
      <c r="A35" s="218"/>
      <c r="B35" s="219"/>
      <c r="C35" s="294"/>
      <c r="D35" s="294"/>
      <c r="E35" s="294"/>
      <c r="F35" s="294"/>
      <c r="G35" s="294"/>
      <c r="H35" s="294"/>
      <c r="I35" s="294"/>
      <c r="J35" s="294"/>
      <c r="K35" s="294"/>
      <c r="L35" s="294"/>
      <c r="M35" s="295"/>
      <c r="N35" s="211"/>
      <c r="O35" s="211"/>
      <c r="P35" s="297"/>
      <c r="Q35" s="297"/>
      <c r="R35" s="297"/>
      <c r="S35" s="297"/>
      <c r="T35" s="297"/>
      <c r="U35" s="297"/>
      <c r="V35" s="297"/>
      <c r="W35" s="297"/>
      <c r="X35" s="297"/>
      <c r="Y35" s="297"/>
      <c r="Z35" s="297"/>
      <c r="AA35" s="207"/>
      <c r="AB35" s="207"/>
      <c r="AC35" s="296"/>
      <c r="AD35" s="296"/>
      <c r="AE35" s="296"/>
      <c r="AF35" s="296"/>
      <c r="AG35" s="296"/>
      <c r="AH35" s="296"/>
      <c r="AI35" s="296"/>
      <c r="AJ35" s="296"/>
      <c r="AK35" s="296"/>
      <c r="AL35" s="296"/>
      <c r="AM35" s="296"/>
      <c r="AN35" s="207"/>
      <c r="AO35" s="207"/>
      <c r="AP35" s="296"/>
      <c r="AQ35" s="296"/>
      <c r="AR35" s="296"/>
      <c r="AS35" s="296"/>
      <c r="AT35" s="296"/>
      <c r="AU35" s="296"/>
      <c r="AV35" s="296"/>
      <c r="AW35" s="296"/>
      <c r="AX35" s="296"/>
      <c r="AY35" s="296"/>
      <c r="AZ35" s="296"/>
      <c r="BA35" s="207"/>
      <c r="BB35" s="207"/>
      <c r="BC35" s="296"/>
      <c r="BD35" s="296"/>
      <c r="BE35" s="296"/>
      <c r="BF35" s="296"/>
      <c r="BG35" s="296"/>
      <c r="BH35" s="296"/>
      <c r="BI35" s="296"/>
      <c r="BJ35" s="296"/>
      <c r="BK35" s="296"/>
      <c r="BL35" s="296"/>
      <c r="BM35" s="296"/>
      <c r="BN35" s="207"/>
      <c r="BO35" s="207"/>
      <c r="BP35" s="296"/>
      <c r="BQ35" s="296"/>
      <c r="BR35" s="296"/>
      <c r="BS35" s="296"/>
      <c r="BT35" s="296"/>
      <c r="BU35" s="296"/>
      <c r="BV35" s="296"/>
      <c r="BW35" s="296"/>
      <c r="BX35" s="296"/>
      <c r="BY35" s="296"/>
      <c r="BZ35" s="296"/>
      <c r="CA35" s="207"/>
      <c r="CB35" s="207"/>
      <c r="CC35" s="296"/>
      <c r="CD35" s="296"/>
      <c r="CE35" s="296"/>
      <c r="CF35" s="296"/>
      <c r="CG35" s="296"/>
      <c r="CH35" s="296"/>
      <c r="CI35" s="296"/>
      <c r="CJ35" s="296"/>
      <c r="CK35" s="296"/>
      <c r="CL35" s="296"/>
      <c r="CM35" s="296"/>
      <c r="CN35" s="207"/>
      <c r="CO35" s="207"/>
      <c r="CP35" s="296"/>
      <c r="CQ35" s="296"/>
      <c r="CR35" s="296"/>
      <c r="CS35" s="296"/>
      <c r="CT35" s="296"/>
      <c r="CU35" s="296"/>
      <c r="CV35" s="296"/>
      <c r="CW35" s="296"/>
      <c r="CX35" s="296"/>
      <c r="CY35" s="296"/>
      <c r="CZ35" s="296"/>
      <c r="DA35" s="207"/>
      <c r="DB35" s="207"/>
      <c r="DC35" s="296"/>
      <c r="DD35" s="296"/>
      <c r="DE35" s="296"/>
      <c r="DF35" s="296"/>
      <c r="DG35" s="296"/>
      <c r="DH35" s="296"/>
      <c r="DI35" s="296"/>
      <c r="DJ35" s="296"/>
      <c r="DK35" s="296"/>
      <c r="DL35" s="296"/>
      <c r="DM35" s="296"/>
      <c r="DN35" s="207"/>
      <c r="DO35" s="207"/>
      <c r="DP35" s="296"/>
      <c r="DQ35" s="296"/>
      <c r="DR35" s="296"/>
      <c r="DS35" s="296"/>
      <c r="DT35" s="296"/>
      <c r="DU35" s="296"/>
      <c r="DV35" s="296"/>
      <c r="DW35" s="296"/>
      <c r="DX35" s="296"/>
      <c r="DY35" s="296"/>
      <c r="DZ35" s="296"/>
      <c r="EA35" s="207"/>
      <c r="EB35" s="207"/>
      <c r="EC35" s="296"/>
      <c r="ED35" s="296"/>
      <c r="EE35" s="296"/>
      <c r="EF35" s="296"/>
      <c r="EG35" s="296"/>
      <c r="EH35" s="296"/>
      <c r="EI35" s="296"/>
      <c r="EJ35" s="296"/>
      <c r="EK35" s="296"/>
      <c r="EL35" s="296"/>
      <c r="EM35" s="296"/>
      <c r="EN35" s="207"/>
      <c r="EO35" s="207"/>
      <c r="EP35" s="296"/>
      <c r="EQ35" s="296"/>
      <c r="ER35" s="296"/>
      <c r="ES35" s="296"/>
      <c r="ET35" s="296"/>
      <c r="EU35" s="296"/>
      <c r="EV35" s="296"/>
      <c r="EW35" s="296"/>
      <c r="EX35" s="296"/>
      <c r="EY35" s="296"/>
      <c r="EZ35" s="296"/>
      <c r="FA35" s="207"/>
      <c r="FB35" s="207"/>
      <c r="FC35" s="296"/>
      <c r="FD35" s="296"/>
      <c r="FE35" s="296"/>
      <c r="FF35" s="296"/>
      <c r="FG35" s="296"/>
      <c r="FH35" s="296"/>
      <c r="FI35" s="296"/>
      <c r="FJ35" s="296"/>
      <c r="FK35" s="296"/>
      <c r="FL35" s="296"/>
      <c r="FM35" s="296"/>
      <c r="FN35" s="207"/>
      <c r="FO35" s="207"/>
      <c r="FP35" s="296"/>
      <c r="FQ35" s="296"/>
      <c r="FR35" s="296"/>
      <c r="FS35" s="296"/>
      <c r="FT35" s="296"/>
      <c r="FU35" s="296"/>
      <c r="FV35" s="296"/>
      <c r="FW35" s="296"/>
      <c r="FX35" s="296"/>
      <c r="FY35" s="296"/>
      <c r="FZ35" s="296"/>
      <c r="GA35" s="207"/>
      <c r="GB35" s="207"/>
      <c r="GC35" s="296"/>
      <c r="GD35" s="296"/>
      <c r="GE35" s="296"/>
      <c r="GF35" s="296"/>
      <c r="GG35" s="296"/>
      <c r="GH35" s="296"/>
      <c r="GI35" s="296"/>
      <c r="GJ35" s="296"/>
      <c r="GK35" s="296"/>
      <c r="GL35" s="296"/>
      <c r="GM35" s="296"/>
      <c r="GN35" s="207"/>
      <c r="GO35" s="207"/>
      <c r="GP35" s="296"/>
      <c r="GQ35" s="296"/>
      <c r="GR35" s="296"/>
      <c r="GS35" s="296"/>
      <c r="GT35" s="296"/>
      <c r="GU35" s="296"/>
      <c r="GV35" s="296"/>
      <c r="GW35" s="296"/>
      <c r="GX35" s="296"/>
      <c r="GY35" s="296"/>
      <c r="GZ35" s="296"/>
      <c r="HA35" s="207"/>
      <c r="HB35" s="207"/>
      <c r="HC35" s="296"/>
      <c r="HD35" s="296"/>
      <c r="HE35" s="296"/>
      <c r="HF35" s="296"/>
      <c r="HG35" s="296"/>
      <c r="HH35" s="296"/>
      <c r="HI35" s="296"/>
      <c r="HJ35" s="296"/>
      <c r="HK35" s="296"/>
      <c r="HL35" s="296"/>
      <c r="HM35" s="296"/>
      <c r="HN35" s="207"/>
      <c r="HO35" s="207"/>
      <c r="HP35" s="296"/>
      <c r="HQ35" s="296"/>
      <c r="HR35" s="296"/>
      <c r="HS35" s="296"/>
      <c r="HT35" s="296"/>
      <c r="HU35" s="296"/>
      <c r="HV35" s="296"/>
      <c r="HW35" s="296"/>
      <c r="HX35" s="296"/>
      <c r="HY35" s="296"/>
      <c r="HZ35" s="296"/>
      <c r="IA35" s="207"/>
      <c r="IB35" s="207"/>
      <c r="IC35" s="296"/>
      <c r="ID35" s="296"/>
      <c r="IE35" s="296"/>
      <c r="IF35" s="296"/>
      <c r="IG35" s="296"/>
      <c r="IH35" s="296"/>
      <c r="II35" s="296"/>
      <c r="IJ35" s="296"/>
      <c r="IK35" s="296"/>
      <c r="IL35" s="296"/>
      <c r="IM35" s="296"/>
      <c r="IN35" s="207"/>
      <c r="IO35" s="207"/>
      <c r="IP35" s="296"/>
      <c r="IQ35" s="296"/>
      <c r="IR35" s="296"/>
      <c r="IS35" s="296"/>
      <c r="IT35" s="296"/>
      <c r="IU35" s="296"/>
      <c r="IV35" s="296"/>
    </row>
    <row r="36" spans="1:256" x14ac:dyDescent="0.2">
      <c r="A36" s="218"/>
      <c r="B36" s="219"/>
      <c r="C36" s="294"/>
      <c r="D36" s="294"/>
      <c r="E36" s="294"/>
      <c r="F36" s="294"/>
      <c r="G36" s="294"/>
      <c r="H36" s="294"/>
      <c r="I36" s="294"/>
      <c r="J36" s="294"/>
      <c r="K36" s="294"/>
      <c r="L36" s="294"/>
      <c r="M36" s="295"/>
      <c r="N36" s="211"/>
      <c r="O36" s="211"/>
      <c r="P36" s="297"/>
      <c r="Q36" s="297"/>
      <c r="R36" s="297"/>
      <c r="S36" s="297"/>
      <c r="T36" s="297"/>
      <c r="U36" s="297"/>
      <c r="V36" s="297"/>
      <c r="W36" s="297"/>
      <c r="X36" s="297"/>
      <c r="Y36" s="297"/>
      <c r="Z36" s="297"/>
      <c r="AA36" s="207"/>
      <c r="AB36" s="207"/>
      <c r="AC36" s="296"/>
      <c r="AD36" s="296"/>
      <c r="AE36" s="296"/>
      <c r="AF36" s="296"/>
      <c r="AG36" s="296"/>
      <c r="AH36" s="296"/>
      <c r="AI36" s="296"/>
      <c r="AJ36" s="296"/>
      <c r="AK36" s="296"/>
      <c r="AL36" s="296"/>
      <c r="AM36" s="296"/>
      <c r="AN36" s="207"/>
      <c r="AO36" s="207"/>
      <c r="AP36" s="296"/>
      <c r="AQ36" s="296"/>
      <c r="AR36" s="296"/>
      <c r="AS36" s="296"/>
      <c r="AT36" s="296"/>
      <c r="AU36" s="296"/>
      <c r="AV36" s="296"/>
      <c r="AW36" s="296"/>
      <c r="AX36" s="296"/>
      <c r="AY36" s="296"/>
      <c r="AZ36" s="296"/>
      <c r="BA36" s="207"/>
      <c r="BB36" s="207"/>
      <c r="BC36" s="296"/>
      <c r="BD36" s="296"/>
      <c r="BE36" s="296"/>
      <c r="BF36" s="296"/>
      <c r="BG36" s="296"/>
      <c r="BH36" s="296"/>
      <c r="BI36" s="296"/>
      <c r="BJ36" s="296"/>
      <c r="BK36" s="296"/>
      <c r="BL36" s="296"/>
      <c r="BM36" s="296"/>
      <c r="BN36" s="207"/>
      <c r="BO36" s="207"/>
      <c r="BP36" s="296"/>
      <c r="BQ36" s="296"/>
      <c r="BR36" s="296"/>
      <c r="BS36" s="296"/>
      <c r="BT36" s="296"/>
      <c r="BU36" s="296"/>
      <c r="BV36" s="296"/>
      <c r="BW36" s="296"/>
      <c r="BX36" s="296"/>
      <c r="BY36" s="296"/>
      <c r="BZ36" s="296"/>
      <c r="CA36" s="207"/>
      <c r="CB36" s="207"/>
      <c r="CC36" s="296"/>
      <c r="CD36" s="296"/>
      <c r="CE36" s="296"/>
      <c r="CF36" s="296"/>
      <c r="CG36" s="296"/>
      <c r="CH36" s="296"/>
      <c r="CI36" s="296"/>
      <c r="CJ36" s="296"/>
      <c r="CK36" s="296"/>
      <c r="CL36" s="296"/>
      <c r="CM36" s="296"/>
      <c r="CN36" s="207"/>
      <c r="CO36" s="207"/>
      <c r="CP36" s="296"/>
      <c r="CQ36" s="296"/>
      <c r="CR36" s="296"/>
      <c r="CS36" s="296"/>
      <c r="CT36" s="296"/>
      <c r="CU36" s="296"/>
      <c r="CV36" s="296"/>
      <c r="CW36" s="296"/>
      <c r="CX36" s="296"/>
      <c r="CY36" s="296"/>
      <c r="CZ36" s="296"/>
      <c r="DA36" s="207"/>
      <c r="DB36" s="207"/>
      <c r="DC36" s="296"/>
      <c r="DD36" s="296"/>
      <c r="DE36" s="296"/>
      <c r="DF36" s="296"/>
      <c r="DG36" s="296"/>
      <c r="DH36" s="296"/>
      <c r="DI36" s="296"/>
      <c r="DJ36" s="296"/>
      <c r="DK36" s="296"/>
      <c r="DL36" s="296"/>
      <c r="DM36" s="296"/>
      <c r="DN36" s="207"/>
      <c r="DO36" s="207"/>
      <c r="DP36" s="296"/>
      <c r="DQ36" s="296"/>
      <c r="DR36" s="296"/>
      <c r="DS36" s="296"/>
      <c r="DT36" s="296"/>
      <c r="DU36" s="296"/>
      <c r="DV36" s="296"/>
      <c r="DW36" s="296"/>
      <c r="DX36" s="296"/>
      <c r="DY36" s="296"/>
      <c r="DZ36" s="296"/>
      <c r="EA36" s="207"/>
      <c r="EB36" s="207"/>
      <c r="EC36" s="296"/>
      <c r="ED36" s="296"/>
      <c r="EE36" s="296"/>
      <c r="EF36" s="296"/>
      <c r="EG36" s="296"/>
      <c r="EH36" s="296"/>
      <c r="EI36" s="296"/>
      <c r="EJ36" s="296"/>
      <c r="EK36" s="296"/>
      <c r="EL36" s="296"/>
      <c r="EM36" s="296"/>
      <c r="EN36" s="207"/>
      <c r="EO36" s="207"/>
      <c r="EP36" s="296"/>
      <c r="EQ36" s="296"/>
      <c r="ER36" s="296"/>
      <c r="ES36" s="296"/>
      <c r="ET36" s="296"/>
      <c r="EU36" s="296"/>
      <c r="EV36" s="296"/>
      <c r="EW36" s="296"/>
      <c r="EX36" s="296"/>
      <c r="EY36" s="296"/>
      <c r="EZ36" s="296"/>
      <c r="FA36" s="207"/>
      <c r="FB36" s="207"/>
      <c r="FC36" s="296"/>
      <c r="FD36" s="296"/>
      <c r="FE36" s="296"/>
      <c r="FF36" s="296"/>
      <c r="FG36" s="296"/>
      <c r="FH36" s="296"/>
      <c r="FI36" s="296"/>
      <c r="FJ36" s="296"/>
      <c r="FK36" s="296"/>
      <c r="FL36" s="296"/>
      <c r="FM36" s="296"/>
      <c r="FN36" s="207"/>
      <c r="FO36" s="207"/>
      <c r="FP36" s="296"/>
      <c r="FQ36" s="296"/>
      <c r="FR36" s="296"/>
      <c r="FS36" s="296"/>
      <c r="FT36" s="296"/>
      <c r="FU36" s="296"/>
      <c r="FV36" s="296"/>
      <c r="FW36" s="296"/>
      <c r="FX36" s="296"/>
      <c r="FY36" s="296"/>
      <c r="FZ36" s="296"/>
      <c r="GA36" s="207"/>
      <c r="GB36" s="207"/>
      <c r="GC36" s="296"/>
      <c r="GD36" s="296"/>
      <c r="GE36" s="296"/>
      <c r="GF36" s="296"/>
      <c r="GG36" s="296"/>
      <c r="GH36" s="296"/>
      <c r="GI36" s="296"/>
      <c r="GJ36" s="296"/>
      <c r="GK36" s="296"/>
      <c r="GL36" s="296"/>
      <c r="GM36" s="296"/>
      <c r="GN36" s="207"/>
      <c r="GO36" s="207"/>
      <c r="GP36" s="296"/>
      <c r="GQ36" s="296"/>
      <c r="GR36" s="296"/>
      <c r="GS36" s="296"/>
      <c r="GT36" s="296"/>
      <c r="GU36" s="296"/>
      <c r="GV36" s="296"/>
      <c r="GW36" s="296"/>
      <c r="GX36" s="296"/>
      <c r="GY36" s="296"/>
      <c r="GZ36" s="296"/>
      <c r="HA36" s="207"/>
      <c r="HB36" s="207"/>
      <c r="HC36" s="296"/>
      <c r="HD36" s="296"/>
      <c r="HE36" s="296"/>
      <c r="HF36" s="296"/>
      <c r="HG36" s="296"/>
      <c r="HH36" s="296"/>
      <c r="HI36" s="296"/>
      <c r="HJ36" s="296"/>
      <c r="HK36" s="296"/>
      <c r="HL36" s="296"/>
      <c r="HM36" s="296"/>
      <c r="HN36" s="207"/>
      <c r="HO36" s="207"/>
      <c r="HP36" s="296"/>
      <c r="HQ36" s="296"/>
      <c r="HR36" s="296"/>
      <c r="HS36" s="296"/>
      <c r="HT36" s="296"/>
      <c r="HU36" s="296"/>
      <c r="HV36" s="296"/>
      <c r="HW36" s="296"/>
      <c r="HX36" s="296"/>
      <c r="HY36" s="296"/>
      <c r="HZ36" s="296"/>
      <c r="IA36" s="207"/>
      <c r="IB36" s="207"/>
      <c r="IC36" s="296"/>
      <c r="ID36" s="296"/>
      <c r="IE36" s="296"/>
      <c r="IF36" s="296"/>
      <c r="IG36" s="296"/>
      <c r="IH36" s="296"/>
      <c r="II36" s="296"/>
      <c r="IJ36" s="296"/>
      <c r="IK36" s="296"/>
      <c r="IL36" s="296"/>
      <c r="IM36" s="296"/>
      <c r="IN36" s="207"/>
      <c r="IO36" s="207"/>
      <c r="IP36" s="296"/>
      <c r="IQ36" s="296"/>
      <c r="IR36" s="296"/>
      <c r="IS36" s="296"/>
      <c r="IT36" s="296"/>
      <c r="IU36" s="296"/>
      <c r="IV36" s="296"/>
    </row>
    <row r="37" spans="1:256" x14ac:dyDescent="0.2">
      <c r="A37" s="218"/>
      <c r="B37" s="219"/>
      <c r="C37" s="294"/>
      <c r="D37" s="294"/>
      <c r="E37" s="294"/>
      <c r="F37" s="294"/>
      <c r="G37" s="294"/>
      <c r="H37" s="294"/>
      <c r="I37" s="294"/>
      <c r="J37" s="294"/>
      <c r="K37" s="294"/>
      <c r="L37" s="294"/>
      <c r="M37" s="295"/>
      <c r="N37" s="223"/>
      <c r="O37" s="223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9"/>
      <c r="AA37" s="218"/>
      <c r="AB37" s="219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295"/>
      <c r="AN37" s="218"/>
      <c r="AO37" s="219"/>
      <c r="AP37" s="294"/>
      <c r="AQ37" s="294"/>
      <c r="AR37" s="294"/>
      <c r="AS37" s="294"/>
      <c r="AT37" s="294"/>
      <c r="AU37" s="294"/>
      <c r="AV37" s="294"/>
      <c r="AW37" s="294"/>
      <c r="AX37" s="294"/>
      <c r="AY37" s="294"/>
      <c r="AZ37" s="295"/>
      <c r="BA37" s="218"/>
      <c r="BB37" s="219"/>
      <c r="BC37" s="294"/>
      <c r="BD37" s="294"/>
      <c r="BE37" s="294"/>
      <c r="BF37" s="294"/>
      <c r="BG37" s="294"/>
      <c r="BH37" s="294"/>
      <c r="BI37" s="294"/>
      <c r="BJ37" s="294"/>
      <c r="BK37" s="294"/>
      <c r="BL37" s="294"/>
      <c r="BM37" s="295"/>
      <c r="BN37" s="218"/>
      <c r="BO37" s="219"/>
      <c r="BP37" s="294"/>
      <c r="BQ37" s="294"/>
      <c r="BR37" s="294"/>
      <c r="BS37" s="294"/>
      <c r="BT37" s="294"/>
      <c r="BU37" s="294"/>
      <c r="BV37" s="294"/>
      <c r="BW37" s="294"/>
      <c r="BX37" s="294"/>
      <c r="BY37" s="294"/>
      <c r="BZ37" s="295"/>
      <c r="CA37" s="218"/>
      <c r="CB37" s="219"/>
      <c r="CC37" s="294"/>
      <c r="CD37" s="294"/>
      <c r="CE37" s="294"/>
      <c r="CF37" s="294"/>
      <c r="CG37" s="294"/>
      <c r="CH37" s="294"/>
      <c r="CI37" s="294"/>
      <c r="CJ37" s="294"/>
      <c r="CK37" s="294"/>
      <c r="CL37" s="294"/>
      <c r="CM37" s="295"/>
      <c r="CN37" s="218"/>
      <c r="CO37" s="219"/>
      <c r="CP37" s="294"/>
      <c r="CQ37" s="294"/>
      <c r="CR37" s="294"/>
      <c r="CS37" s="294"/>
      <c r="CT37" s="294"/>
      <c r="CU37" s="294"/>
      <c r="CV37" s="294"/>
      <c r="CW37" s="294"/>
      <c r="CX37" s="294"/>
      <c r="CY37" s="294"/>
      <c r="CZ37" s="295"/>
      <c r="DA37" s="218"/>
      <c r="DB37" s="219"/>
      <c r="DC37" s="294"/>
      <c r="DD37" s="294"/>
      <c r="DE37" s="294"/>
      <c r="DF37" s="294"/>
      <c r="DG37" s="294"/>
      <c r="DH37" s="294"/>
      <c r="DI37" s="294"/>
      <c r="DJ37" s="294"/>
      <c r="DK37" s="294"/>
      <c r="DL37" s="294"/>
      <c r="DM37" s="295"/>
      <c r="DN37" s="218"/>
      <c r="DO37" s="219"/>
      <c r="DP37" s="294"/>
      <c r="DQ37" s="294"/>
      <c r="DR37" s="294"/>
      <c r="DS37" s="294"/>
      <c r="DT37" s="294"/>
      <c r="DU37" s="294"/>
      <c r="DV37" s="294"/>
      <c r="DW37" s="294"/>
      <c r="DX37" s="294"/>
      <c r="DY37" s="294"/>
      <c r="DZ37" s="295"/>
      <c r="EA37" s="218"/>
      <c r="EB37" s="219"/>
      <c r="EC37" s="294"/>
      <c r="ED37" s="294"/>
      <c r="EE37" s="294"/>
      <c r="EF37" s="294"/>
      <c r="EG37" s="294"/>
      <c r="EH37" s="294"/>
      <c r="EI37" s="294"/>
      <c r="EJ37" s="294"/>
      <c r="EK37" s="294"/>
      <c r="EL37" s="294"/>
      <c r="EM37" s="295"/>
      <c r="EN37" s="218"/>
      <c r="EO37" s="219"/>
      <c r="EP37" s="294"/>
      <c r="EQ37" s="294"/>
      <c r="ER37" s="294"/>
      <c r="ES37" s="294"/>
      <c r="ET37" s="294"/>
      <c r="EU37" s="294"/>
      <c r="EV37" s="294"/>
      <c r="EW37" s="294"/>
      <c r="EX37" s="294"/>
      <c r="EY37" s="294"/>
      <c r="EZ37" s="295"/>
      <c r="FA37" s="218"/>
      <c r="FB37" s="219"/>
      <c r="FC37" s="294"/>
      <c r="FD37" s="294"/>
      <c r="FE37" s="294"/>
      <c r="FF37" s="294"/>
      <c r="FG37" s="294"/>
      <c r="FH37" s="294"/>
      <c r="FI37" s="294"/>
      <c r="FJ37" s="294"/>
      <c r="FK37" s="294"/>
      <c r="FL37" s="294"/>
      <c r="FM37" s="295"/>
      <c r="FN37" s="218"/>
      <c r="FO37" s="219"/>
      <c r="FP37" s="294"/>
      <c r="FQ37" s="294"/>
      <c r="FR37" s="294"/>
      <c r="FS37" s="294"/>
      <c r="FT37" s="294"/>
      <c r="FU37" s="294"/>
      <c r="FV37" s="294"/>
      <c r="FW37" s="294"/>
      <c r="FX37" s="294"/>
      <c r="FY37" s="294"/>
      <c r="FZ37" s="295"/>
      <c r="GA37" s="218"/>
      <c r="GB37" s="219"/>
      <c r="GC37" s="294"/>
      <c r="GD37" s="294"/>
      <c r="GE37" s="294"/>
      <c r="GF37" s="294"/>
      <c r="GG37" s="294"/>
      <c r="GH37" s="294"/>
      <c r="GI37" s="294"/>
      <c r="GJ37" s="294"/>
      <c r="GK37" s="294"/>
      <c r="GL37" s="294"/>
      <c r="GM37" s="295"/>
      <c r="GN37" s="218"/>
      <c r="GO37" s="219"/>
      <c r="GP37" s="294"/>
      <c r="GQ37" s="294"/>
      <c r="GR37" s="294"/>
      <c r="GS37" s="294"/>
      <c r="GT37" s="294"/>
      <c r="GU37" s="294"/>
      <c r="GV37" s="294"/>
      <c r="GW37" s="294"/>
      <c r="GX37" s="294"/>
      <c r="GY37" s="294"/>
      <c r="GZ37" s="295"/>
      <c r="HA37" s="218"/>
      <c r="HB37" s="219"/>
      <c r="HC37" s="294"/>
      <c r="HD37" s="294"/>
      <c r="HE37" s="294"/>
      <c r="HF37" s="294"/>
      <c r="HG37" s="294"/>
      <c r="HH37" s="294"/>
      <c r="HI37" s="294"/>
      <c r="HJ37" s="294"/>
      <c r="HK37" s="294"/>
      <c r="HL37" s="294"/>
      <c r="HM37" s="295"/>
      <c r="HN37" s="218"/>
      <c r="HO37" s="219"/>
      <c r="HP37" s="294"/>
      <c r="HQ37" s="294"/>
      <c r="HR37" s="294"/>
      <c r="HS37" s="294"/>
      <c r="HT37" s="294"/>
      <c r="HU37" s="294"/>
      <c r="HV37" s="294"/>
      <c r="HW37" s="294"/>
      <c r="HX37" s="294"/>
      <c r="HY37" s="294"/>
      <c r="HZ37" s="295"/>
      <c r="IA37" s="218"/>
      <c r="IB37" s="219"/>
      <c r="IC37" s="294"/>
      <c r="ID37" s="294"/>
      <c r="IE37" s="294"/>
      <c r="IF37" s="294"/>
      <c r="IG37" s="294"/>
      <c r="IH37" s="294"/>
      <c r="II37" s="294"/>
      <c r="IJ37" s="294"/>
      <c r="IK37" s="294"/>
      <c r="IL37" s="294"/>
      <c r="IM37" s="295"/>
      <c r="IN37" s="218"/>
      <c r="IO37" s="219"/>
      <c r="IP37" s="294"/>
      <c r="IQ37" s="294"/>
      <c r="IR37" s="294"/>
      <c r="IS37" s="294"/>
      <c r="IT37" s="294"/>
      <c r="IU37" s="294"/>
      <c r="IV37" s="294"/>
    </row>
    <row r="38" spans="1:256" x14ac:dyDescent="0.2">
      <c r="A38" s="218"/>
      <c r="B38" s="219"/>
      <c r="C38" s="294"/>
      <c r="D38" s="294"/>
      <c r="E38" s="294"/>
      <c r="F38" s="294"/>
      <c r="G38" s="294"/>
      <c r="H38" s="294"/>
      <c r="I38" s="294"/>
      <c r="J38" s="294"/>
      <c r="K38" s="294"/>
      <c r="L38" s="294"/>
      <c r="M38" s="295"/>
      <c r="N38" s="211"/>
      <c r="O38" s="211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07"/>
      <c r="AB38" s="207"/>
      <c r="AC38" s="212"/>
      <c r="AD38" s="212"/>
      <c r="AE38" s="212"/>
      <c r="AF38" s="212"/>
      <c r="AG38" s="212"/>
      <c r="AH38" s="212"/>
      <c r="AI38" s="212"/>
      <c r="AJ38" s="212"/>
      <c r="AK38" s="212"/>
      <c r="AL38" s="212"/>
      <c r="AM38" s="212"/>
      <c r="AN38" s="207"/>
      <c r="AO38" s="207"/>
      <c r="AP38" s="212"/>
      <c r="AQ38" s="212"/>
      <c r="AR38" s="212"/>
      <c r="AS38" s="212"/>
      <c r="AT38" s="212"/>
      <c r="AU38" s="212"/>
      <c r="AV38" s="212"/>
      <c r="AW38" s="212"/>
      <c r="AX38" s="212"/>
      <c r="AY38" s="212"/>
      <c r="AZ38" s="212"/>
      <c r="BA38" s="207"/>
      <c r="BB38" s="207"/>
      <c r="BC38" s="212"/>
      <c r="BD38" s="212"/>
      <c r="BE38" s="212"/>
      <c r="BF38" s="212"/>
      <c r="BG38" s="212"/>
      <c r="BH38" s="212"/>
      <c r="BI38" s="212"/>
      <c r="BJ38" s="212"/>
      <c r="BK38" s="212"/>
      <c r="BL38" s="212"/>
      <c r="BM38" s="212"/>
      <c r="BN38" s="207"/>
      <c r="BO38" s="207"/>
      <c r="BP38" s="212"/>
      <c r="BQ38" s="212"/>
      <c r="BR38" s="212"/>
      <c r="BS38" s="212"/>
      <c r="BT38" s="212"/>
      <c r="BU38" s="212"/>
      <c r="BV38" s="212"/>
      <c r="BW38" s="212"/>
      <c r="BX38" s="212"/>
      <c r="BY38" s="212"/>
      <c r="BZ38" s="212"/>
      <c r="CA38" s="207"/>
      <c r="CB38" s="207"/>
      <c r="CC38" s="212"/>
      <c r="CD38" s="212"/>
      <c r="CE38" s="212"/>
      <c r="CF38" s="212"/>
      <c r="CG38" s="212"/>
      <c r="CH38" s="212"/>
      <c r="CI38" s="212"/>
      <c r="CJ38" s="212"/>
      <c r="CK38" s="212"/>
      <c r="CL38" s="212"/>
      <c r="CM38" s="212"/>
      <c r="CN38" s="207"/>
      <c r="CO38" s="207"/>
      <c r="CP38" s="212"/>
      <c r="CQ38" s="212"/>
      <c r="CR38" s="212"/>
      <c r="CS38" s="212"/>
      <c r="CT38" s="212"/>
      <c r="CU38" s="212"/>
      <c r="CV38" s="212"/>
      <c r="CW38" s="212"/>
      <c r="CX38" s="212"/>
      <c r="CY38" s="212"/>
      <c r="CZ38" s="212"/>
      <c r="DA38" s="207"/>
      <c r="DB38" s="207"/>
      <c r="DC38" s="212"/>
      <c r="DD38" s="212"/>
      <c r="DE38" s="212"/>
      <c r="DF38" s="212"/>
      <c r="DG38" s="212"/>
      <c r="DH38" s="212"/>
      <c r="DI38" s="212"/>
      <c r="DJ38" s="212"/>
      <c r="DK38" s="212"/>
      <c r="DL38" s="212"/>
      <c r="DM38" s="212"/>
      <c r="DN38" s="207"/>
      <c r="DO38" s="207"/>
      <c r="DP38" s="212"/>
      <c r="DQ38" s="212"/>
      <c r="DR38" s="212"/>
      <c r="DS38" s="212"/>
      <c r="DT38" s="212"/>
      <c r="DU38" s="212"/>
      <c r="DV38" s="212"/>
      <c r="DW38" s="212"/>
      <c r="DX38" s="212"/>
      <c r="DY38" s="212"/>
      <c r="DZ38" s="212"/>
      <c r="EA38" s="207"/>
      <c r="EB38" s="207"/>
      <c r="EC38" s="212"/>
      <c r="ED38" s="212"/>
      <c r="EE38" s="212"/>
      <c r="EF38" s="212"/>
      <c r="EG38" s="212"/>
      <c r="EH38" s="212"/>
      <c r="EI38" s="212"/>
      <c r="EJ38" s="212"/>
      <c r="EK38" s="212"/>
      <c r="EL38" s="212"/>
      <c r="EM38" s="212"/>
      <c r="EN38" s="207"/>
      <c r="EO38" s="207"/>
      <c r="EP38" s="212"/>
      <c r="EQ38" s="212"/>
      <c r="ER38" s="212"/>
      <c r="ES38" s="212"/>
      <c r="ET38" s="212"/>
      <c r="EU38" s="212"/>
      <c r="EV38" s="212"/>
      <c r="EW38" s="212"/>
      <c r="EX38" s="212"/>
      <c r="EY38" s="212"/>
      <c r="EZ38" s="212"/>
      <c r="FA38" s="207"/>
      <c r="FB38" s="207"/>
      <c r="FC38" s="212"/>
      <c r="FD38" s="212"/>
      <c r="FE38" s="212"/>
      <c r="FF38" s="212"/>
      <c r="FG38" s="212"/>
      <c r="FH38" s="212"/>
      <c r="FI38" s="212"/>
      <c r="FJ38" s="212"/>
      <c r="FK38" s="212"/>
      <c r="FL38" s="212"/>
      <c r="FM38" s="212"/>
      <c r="FN38" s="207"/>
      <c r="FO38" s="207"/>
      <c r="FP38" s="212"/>
      <c r="FQ38" s="212"/>
      <c r="FR38" s="212"/>
      <c r="FS38" s="212"/>
      <c r="FT38" s="212"/>
      <c r="FU38" s="212"/>
      <c r="FV38" s="212"/>
      <c r="FW38" s="212"/>
      <c r="FX38" s="212"/>
      <c r="FY38" s="212"/>
      <c r="FZ38" s="212"/>
      <c r="GA38" s="207"/>
      <c r="GB38" s="207"/>
      <c r="GC38" s="212"/>
      <c r="GD38" s="212"/>
      <c r="GE38" s="212"/>
      <c r="GF38" s="212"/>
      <c r="GG38" s="212"/>
      <c r="GH38" s="212"/>
      <c r="GI38" s="212"/>
      <c r="GJ38" s="212"/>
      <c r="GK38" s="212"/>
      <c r="GL38" s="212"/>
      <c r="GM38" s="212"/>
      <c r="GN38" s="207"/>
      <c r="GO38" s="207"/>
      <c r="GP38" s="212"/>
      <c r="GQ38" s="212"/>
      <c r="GR38" s="212"/>
      <c r="GS38" s="212"/>
      <c r="GT38" s="212"/>
      <c r="GU38" s="212"/>
      <c r="GV38" s="212"/>
      <c r="GW38" s="212"/>
      <c r="GX38" s="212"/>
      <c r="GY38" s="212"/>
      <c r="GZ38" s="212"/>
      <c r="HA38" s="207"/>
      <c r="HB38" s="207"/>
      <c r="HC38" s="212"/>
      <c r="HD38" s="212"/>
      <c r="HE38" s="212"/>
      <c r="HF38" s="212"/>
      <c r="HG38" s="212"/>
      <c r="HH38" s="212"/>
      <c r="HI38" s="212"/>
      <c r="HJ38" s="212"/>
      <c r="HK38" s="212"/>
      <c r="HL38" s="212"/>
      <c r="HM38" s="212"/>
      <c r="HN38" s="207"/>
      <c r="HO38" s="207"/>
      <c r="HP38" s="212"/>
      <c r="HQ38" s="212"/>
      <c r="HR38" s="212"/>
      <c r="HS38" s="212"/>
      <c r="HT38" s="212"/>
      <c r="HU38" s="212"/>
      <c r="HV38" s="212"/>
      <c r="HW38" s="212"/>
      <c r="HX38" s="212"/>
      <c r="HY38" s="212"/>
      <c r="HZ38" s="212"/>
      <c r="IA38" s="207"/>
      <c r="IB38" s="207"/>
      <c r="IC38" s="212"/>
      <c r="ID38" s="212"/>
      <c r="IE38" s="212"/>
      <c r="IF38" s="212"/>
      <c r="IG38" s="212"/>
      <c r="IH38" s="212"/>
      <c r="II38" s="212"/>
      <c r="IJ38" s="212"/>
      <c r="IK38" s="212"/>
      <c r="IL38" s="212"/>
      <c r="IM38" s="212"/>
      <c r="IN38" s="207"/>
      <c r="IO38" s="207"/>
      <c r="IP38" s="212"/>
      <c r="IQ38" s="212"/>
      <c r="IR38" s="212"/>
      <c r="IS38" s="212"/>
      <c r="IT38" s="212"/>
      <c r="IU38" s="212"/>
      <c r="IV38" s="212"/>
    </row>
    <row r="39" spans="1:256" x14ac:dyDescent="0.2">
      <c r="A39" s="218"/>
      <c r="B39" s="219"/>
      <c r="C39" s="294"/>
      <c r="D39" s="294"/>
      <c r="E39" s="294"/>
      <c r="F39" s="294"/>
      <c r="G39" s="294"/>
      <c r="H39" s="294"/>
      <c r="I39" s="294"/>
      <c r="J39" s="294"/>
      <c r="K39" s="294"/>
      <c r="L39" s="294"/>
      <c r="M39" s="295"/>
      <c r="N39" s="211"/>
      <c r="O39" s="211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07"/>
      <c r="AB39" s="207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07"/>
      <c r="AO39" s="207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07"/>
      <c r="BB39" s="207"/>
      <c r="BC39" s="212"/>
      <c r="BD39" s="212"/>
      <c r="BE39" s="212"/>
      <c r="BF39" s="212"/>
      <c r="BG39" s="212"/>
      <c r="BH39" s="212"/>
      <c r="BI39" s="212"/>
      <c r="BJ39" s="212"/>
      <c r="BK39" s="212"/>
      <c r="BL39" s="212"/>
      <c r="BM39" s="212"/>
      <c r="BN39" s="207"/>
      <c r="BO39" s="207"/>
      <c r="BP39" s="212"/>
      <c r="BQ39" s="212"/>
      <c r="BR39" s="212"/>
      <c r="BS39" s="212"/>
      <c r="BT39" s="212"/>
      <c r="BU39" s="212"/>
      <c r="BV39" s="212"/>
      <c r="BW39" s="212"/>
      <c r="BX39" s="212"/>
      <c r="BY39" s="212"/>
      <c r="BZ39" s="212"/>
      <c r="CA39" s="207"/>
      <c r="CB39" s="207"/>
      <c r="CC39" s="212"/>
      <c r="CD39" s="212"/>
      <c r="CE39" s="212"/>
      <c r="CF39" s="212"/>
      <c r="CG39" s="212"/>
      <c r="CH39" s="212"/>
      <c r="CI39" s="212"/>
      <c r="CJ39" s="212"/>
      <c r="CK39" s="212"/>
      <c r="CL39" s="212"/>
      <c r="CM39" s="212"/>
      <c r="CN39" s="207"/>
      <c r="CO39" s="207"/>
      <c r="CP39" s="212"/>
      <c r="CQ39" s="212"/>
      <c r="CR39" s="212"/>
      <c r="CS39" s="212"/>
      <c r="CT39" s="212"/>
      <c r="CU39" s="212"/>
      <c r="CV39" s="212"/>
      <c r="CW39" s="212"/>
      <c r="CX39" s="212"/>
      <c r="CY39" s="212"/>
      <c r="CZ39" s="212"/>
      <c r="DA39" s="207"/>
      <c r="DB39" s="207"/>
      <c r="DC39" s="212"/>
      <c r="DD39" s="212"/>
      <c r="DE39" s="212"/>
      <c r="DF39" s="212"/>
      <c r="DG39" s="212"/>
      <c r="DH39" s="212"/>
      <c r="DI39" s="212"/>
      <c r="DJ39" s="212"/>
      <c r="DK39" s="212"/>
      <c r="DL39" s="212"/>
      <c r="DM39" s="212"/>
      <c r="DN39" s="207"/>
      <c r="DO39" s="207"/>
      <c r="DP39" s="212"/>
      <c r="DQ39" s="212"/>
      <c r="DR39" s="212"/>
      <c r="DS39" s="212"/>
      <c r="DT39" s="212"/>
      <c r="DU39" s="212"/>
      <c r="DV39" s="212"/>
      <c r="DW39" s="212"/>
      <c r="DX39" s="212"/>
      <c r="DY39" s="212"/>
      <c r="DZ39" s="212"/>
      <c r="EA39" s="207"/>
      <c r="EB39" s="207"/>
      <c r="EC39" s="212"/>
      <c r="ED39" s="212"/>
      <c r="EE39" s="212"/>
      <c r="EF39" s="212"/>
      <c r="EG39" s="212"/>
      <c r="EH39" s="212"/>
      <c r="EI39" s="212"/>
      <c r="EJ39" s="212"/>
      <c r="EK39" s="212"/>
      <c r="EL39" s="212"/>
      <c r="EM39" s="212"/>
      <c r="EN39" s="207"/>
      <c r="EO39" s="207"/>
      <c r="EP39" s="212"/>
      <c r="EQ39" s="212"/>
      <c r="ER39" s="212"/>
      <c r="ES39" s="212"/>
      <c r="ET39" s="212"/>
      <c r="EU39" s="212"/>
      <c r="EV39" s="212"/>
      <c r="EW39" s="212"/>
      <c r="EX39" s="212"/>
      <c r="EY39" s="212"/>
      <c r="EZ39" s="212"/>
      <c r="FA39" s="207"/>
      <c r="FB39" s="207"/>
      <c r="FC39" s="212"/>
      <c r="FD39" s="212"/>
      <c r="FE39" s="212"/>
      <c r="FF39" s="212"/>
      <c r="FG39" s="212"/>
      <c r="FH39" s="212"/>
      <c r="FI39" s="212"/>
      <c r="FJ39" s="212"/>
      <c r="FK39" s="212"/>
      <c r="FL39" s="212"/>
      <c r="FM39" s="212"/>
      <c r="FN39" s="207"/>
      <c r="FO39" s="207"/>
      <c r="FP39" s="212"/>
      <c r="FQ39" s="212"/>
      <c r="FR39" s="212"/>
      <c r="FS39" s="212"/>
      <c r="FT39" s="212"/>
      <c r="FU39" s="212"/>
      <c r="FV39" s="212"/>
      <c r="FW39" s="212"/>
      <c r="FX39" s="212"/>
      <c r="FY39" s="212"/>
      <c r="FZ39" s="212"/>
      <c r="GA39" s="207"/>
      <c r="GB39" s="207"/>
      <c r="GC39" s="212"/>
      <c r="GD39" s="212"/>
      <c r="GE39" s="212"/>
      <c r="GF39" s="212"/>
      <c r="GG39" s="212"/>
      <c r="GH39" s="212"/>
      <c r="GI39" s="212"/>
      <c r="GJ39" s="212"/>
      <c r="GK39" s="212"/>
      <c r="GL39" s="212"/>
      <c r="GM39" s="212"/>
      <c r="GN39" s="207"/>
      <c r="GO39" s="207"/>
      <c r="GP39" s="212"/>
      <c r="GQ39" s="212"/>
      <c r="GR39" s="212"/>
      <c r="GS39" s="212"/>
      <c r="GT39" s="212"/>
      <c r="GU39" s="212"/>
      <c r="GV39" s="212"/>
      <c r="GW39" s="212"/>
      <c r="GX39" s="212"/>
      <c r="GY39" s="212"/>
      <c r="GZ39" s="212"/>
      <c r="HA39" s="207"/>
      <c r="HB39" s="207"/>
      <c r="HC39" s="212"/>
      <c r="HD39" s="212"/>
      <c r="HE39" s="212"/>
      <c r="HF39" s="212"/>
      <c r="HG39" s="212"/>
      <c r="HH39" s="212"/>
      <c r="HI39" s="212"/>
      <c r="HJ39" s="212"/>
      <c r="HK39" s="212"/>
      <c r="HL39" s="212"/>
      <c r="HM39" s="212"/>
      <c r="HN39" s="207"/>
      <c r="HO39" s="207"/>
      <c r="HP39" s="212"/>
      <c r="HQ39" s="212"/>
      <c r="HR39" s="212"/>
      <c r="HS39" s="212"/>
      <c r="HT39" s="212"/>
      <c r="HU39" s="212"/>
      <c r="HV39" s="212"/>
      <c r="HW39" s="212"/>
      <c r="HX39" s="212"/>
      <c r="HY39" s="212"/>
      <c r="HZ39" s="212"/>
      <c r="IA39" s="207"/>
      <c r="IB39" s="207"/>
      <c r="IC39" s="212"/>
      <c r="ID39" s="212"/>
      <c r="IE39" s="212"/>
      <c r="IF39" s="212"/>
      <c r="IG39" s="212"/>
      <c r="IH39" s="212"/>
      <c r="II39" s="212"/>
      <c r="IJ39" s="212"/>
      <c r="IK39" s="212"/>
      <c r="IL39" s="212"/>
      <c r="IM39" s="212"/>
      <c r="IN39" s="207"/>
      <c r="IO39" s="207"/>
      <c r="IP39" s="212"/>
      <c r="IQ39" s="212"/>
      <c r="IR39" s="212"/>
      <c r="IS39" s="212"/>
      <c r="IT39" s="212"/>
      <c r="IU39" s="212"/>
      <c r="IV39" s="212"/>
    </row>
    <row r="40" spans="1:256" x14ac:dyDescent="0.2">
      <c r="A40" s="218"/>
      <c r="B40" s="219"/>
      <c r="C40" s="294"/>
      <c r="D40" s="294"/>
      <c r="E40" s="294"/>
      <c r="F40" s="294"/>
      <c r="G40" s="294"/>
      <c r="H40" s="294"/>
      <c r="I40" s="294"/>
      <c r="J40" s="294"/>
      <c r="K40" s="294"/>
      <c r="L40" s="294"/>
      <c r="M40" s="295"/>
      <c r="N40" s="211"/>
      <c r="O40" s="211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07"/>
      <c r="AB40" s="207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07"/>
      <c r="AO40" s="207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2"/>
      <c r="BA40" s="207"/>
      <c r="BB40" s="207"/>
      <c r="BC40" s="212"/>
      <c r="BD40" s="212"/>
      <c r="BE40" s="212"/>
      <c r="BF40" s="212"/>
      <c r="BG40" s="212"/>
      <c r="BH40" s="212"/>
      <c r="BI40" s="212"/>
      <c r="BJ40" s="212"/>
      <c r="BK40" s="212"/>
      <c r="BL40" s="212"/>
      <c r="BM40" s="212"/>
      <c r="BN40" s="207"/>
      <c r="BO40" s="207"/>
      <c r="BP40" s="212"/>
      <c r="BQ40" s="212"/>
      <c r="BR40" s="212"/>
      <c r="BS40" s="212"/>
      <c r="BT40" s="212"/>
      <c r="BU40" s="212"/>
      <c r="BV40" s="212"/>
      <c r="BW40" s="212"/>
      <c r="BX40" s="212"/>
      <c r="BY40" s="212"/>
      <c r="BZ40" s="212"/>
      <c r="CA40" s="207"/>
      <c r="CB40" s="207"/>
      <c r="CC40" s="212"/>
      <c r="CD40" s="212"/>
      <c r="CE40" s="212"/>
      <c r="CF40" s="212"/>
      <c r="CG40" s="212"/>
      <c r="CH40" s="212"/>
      <c r="CI40" s="212"/>
      <c r="CJ40" s="212"/>
      <c r="CK40" s="212"/>
      <c r="CL40" s="212"/>
      <c r="CM40" s="212"/>
      <c r="CN40" s="207"/>
      <c r="CO40" s="207"/>
      <c r="CP40" s="212"/>
      <c r="CQ40" s="212"/>
      <c r="CR40" s="212"/>
      <c r="CS40" s="212"/>
      <c r="CT40" s="212"/>
      <c r="CU40" s="212"/>
      <c r="CV40" s="212"/>
      <c r="CW40" s="212"/>
      <c r="CX40" s="212"/>
      <c r="CY40" s="212"/>
      <c r="CZ40" s="212"/>
      <c r="DA40" s="207"/>
      <c r="DB40" s="207"/>
      <c r="DC40" s="212"/>
      <c r="DD40" s="212"/>
      <c r="DE40" s="212"/>
      <c r="DF40" s="212"/>
      <c r="DG40" s="212"/>
      <c r="DH40" s="212"/>
      <c r="DI40" s="212"/>
      <c r="DJ40" s="212"/>
      <c r="DK40" s="212"/>
      <c r="DL40" s="212"/>
      <c r="DM40" s="212"/>
      <c r="DN40" s="207"/>
      <c r="DO40" s="207"/>
      <c r="DP40" s="212"/>
      <c r="DQ40" s="212"/>
      <c r="DR40" s="212"/>
      <c r="DS40" s="212"/>
      <c r="DT40" s="212"/>
      <c r="DU40" s="212"/>
      <c r="DV40" s="212"/>
      <c r="DW40" s="212"/>
      <c r="DX40" s="212"/>
      <c r="DY40" s="212"/>
      <c r="DZ40" s="212"/>
      <c r="EA40" s="207"/>
      <c r="EB40" s="207"/>
      <c r="EC40" s="212"/>
      <c r="ED40" s="212"/>
      <c r="EE40" s="212"/>
      <c r="EF40" s="212"/>
      <c r="EG40" s="212"/>
      <c r="EH40" s="212"/>
      <c r="EI40" s="212"/>
      <c r="EJ40" s="212"/>
      <c r="EK40" s="212"/>
      <c r="EL40" s="212"/>
      <c r="EM40" s="212"/>
      <c r="EN40" s="207"/>
      <c r="EO40" s="207"/>
      <c r="EP40" s="212"/>
      <c r="EQ40" s="212"/>
      <c r="ER40" s="212"/>
      <c r="ES40" s="212"/>
      <c r="ET40" s="212"/>
      <c r="EU40" s="212"/>
      <c r="EV40" s="212"/>
      <c r="EW40" s="212"/>
      <c r="EX40" s="212"/>
      <c r="EY40" s="212"/>
      <c r="EZ40" s="212"/>
      <c r="FA40" s="207"/>
      <c r="FB40" s="207"/>
      <c r="FC40" s="212"/>
      <c r="FD40" s="212"/>
      <c r="FE40" s="212"/>
      <c r="FF40" s="212"/>
      <c r="FG40" s="212"/>
      <c r="FH40" s="212"/>
      <c r="FI40" s="212"/>
      <c r="FJ40" s="212"/>
      <c r="FK40" s="212"/>
      <c r="FL40" s="212"/>
      <c r="FM40" s="212"/>
      <c r="FN40" s="207"/>
      <c r="FO40" s="207"/>
      <c r="FP40" s="212"/>
      <c r="FQ40" s="212"/>
      <c r="FR40" s="212"/>
      <c r="FS40" s="212"/>
      <c r="FT40" s="212"/>
      <c r="FU40" s="212"/>
      <c r="FV40" s="212"/>
      <c r="FW40" s="212"/>
      <c r="FX40" s="212"/>
      <c r="FY40" s="212"/>
      <c r="FZ40" s="212"/>
      <c r="GA40" s="207"/>
      <c r="GB40" s="207"/>
      <c r="GC40" s="212"/>
      <c r="GD40" s="212"/>
      <c r="GE40" s="212"/>
      <c r="GF40" s="212"/>
      <c r="GG40" s="212"/>
      <c r="GH40" s="212"/>
      <c r="GI40" s="212"/>
      <c r="GJ40" s="212"/>
      <c r="GK40" s="212"/>
      <c r="GL40" s="212"/>
      <c r="GM40" s="212"/>
      <c r="GN40" s="207"/>
      <c r="GO40" s="207"/>
      <c r="GP40" s="212"/>
      <c r="GQ40" s="212"/>
      <c r="GR40" s="212"/>
      <c r="GS40" s="212"/>
      <c r="GT40" s="212"/>
      <c r="GU40" s="212"/>
      <c r="GV40" s="212"/>
      <c r="GW40" s="212"/>
      <c r="GX40" s="212"/>
      <c r="GY40" s="212"/>
      <c r="GZ40" s="212"/>
      <c r="HA40" s="207"/>
      <c r="HB40" s="207"/>
      <c r="HC40" s="212"/>
      <c r="HD40" s="212"/>
      <c r="HE40" s="212"/>
      <c r="HF40" s="212"/>
      <c r="HG40" s="212"/>
      <c r="HH40" s="212"/>
      <c r="HI40" s="212"/>
      <c r="HJ40" s="212"/>
      <c r="HK40" s="212"/>
      <c r="HL40" s="212"/>
      <c r="HM40" s="212"/>
      <c r="HN40" s="207"/>
      <c r="HO40" s="207"/>
      <c r="HP40" s="212"/>
      <c r="HQ40" s="212"/>
      <c r="HR40" s="212"/>
      <c r="HS40" s="212"/>
      <c r="HT40" s="212"/>
      <c r="HU40" s="212"/>
      <c r="HV40" s="212"/>
      <c r="HW40" s="212"/>
      <c r="HX40" s="212"/>
      <c r="HY40" s="212"/>
      <c r="HZ40" s="212"/>
      <c r="IA40" s="207"/>
      <c r="IB40" s="207"/>
      <c r="IC40" s="212"/>
      <c r="ID40" s="212"/>
      <c r="IE40" s="212"/>
      <c r="IF40" s="212"/>
      <c r="IG40" s="212"/>
      <c r="IH40" s="212"/>
      <c r="II40" s="212"/>
      <c r="IJ40" s="212"/>
      <c r="IK40" s="212"/>
      <c r="IL40" s="212"/>
      <c r="IM40" s="212"/>
      <c r="IN40" s="207"/>
      <c r="IO40" s="207"/>
      <c r="IP40" s="212"/>
      <c r="IQ40" s="212"/>
      <c r="IR40" s="212"/>
      <c r="IS40" s="212"/>
      <c r="IT40" s="212"/>
      <c r="IU40" s="212"/>
      <c r="IV40" s="212"/>
    </row>
    <row r="41" spans="1:256" x14ac:dyDescent="0.2">
      <c r="A41" s="218"/>
      <c r="B41" s="219"/>
      <c r="C41" s="294"/>
      <c r="D41" s="294"/>
      <c r="E41" s="294"/>
      <c r="F41" s="294"/>
      <c r="G41" s="294"/>
      <c r="H41" s="294"/>
      <c r="I41" s="294"/>
      <c r="J41" s="294"/>
      <c r="K41" s="294"/>
      <c r="L41" s="294"/>
      <c r="M41" s="29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94"/>
      <c r="D42" s="294"/>
      <c r="E42" s="294"/>
      <c r="F42" s="294"/>
      <c r="G42" s="294"/>
      <c r="H42" s="294"/>
      <c r="I42" s="294"/>
      <c r="J42" s="294"/>
      <c r="K42" s="294"/>
      <c r="L42" s="294"/>
      <c r="M42" s="29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94"/>
      <c r="D43" s="294"/>
      <c r="E43" s="294"/>
      <c r="F43" s="294"/>
      <c r="G43" s="294"/>
      <c r="H43" s="294"/>
      <c r="I43" s="294"/>
      <c r="J43" s="294"/>
      <c r="K43" s="294"/>
      <c r="L43" s="294"/>
      <c r="M43" s="295"/>
      <c r="N43" s="211"/>
      <c r="O43" s="211"/>
      <c r="P43" s="297"/>
      <c r="Q43" s="297"/>
      <c r="R43" s="297"/>
      <c r="S43" s="297"/>
      <c r="T43" s="297"/>
      <c r="U43" s="297"/>
      <c r="V43" s="297"/>
      <c r="W43" s="297"/>
      <c r="X43" s="297"/>
      <c r="Y43" s="297"/>
      <c r="Z43" s="297"/>
      <c r="AA43" s="207"/>
      <c r="AB43" s="207"/>
      <c r="AC43" s="296"/>
      <c r="AD43" s="296"/>
      <c r="AE43" s="296"/>
      <c r="AF43" s="296"/>
      <c r="AG43" s="296"/>
      <c r="AH43" s="296"/>
      <c r="AI43" s="296"/>
      <c r="AJ43" s="296"/>
      <c r="AK43" s="296"/>
      <c r="AL43" s="296"/>
      <c r="AM43" s="296"/>
      <c r="AN43" s="207"/>
      <c r="AO43" s="207"/>
      <c r="AP43" s="296"/>
      <c r="AQ43" s="296"/>
      <c r="AR43" s="296"/>
      <c r="AS43" s="296"/>
      <c r="AT43" s="296"/>
      <c r="AU43" s="296"/>
      <c r="AV43" s="296"/>
      <c r="AW43" s="296"/>
      <c r="AX43" s="296"/>
      <c r="AY43" s="296"/>
      <c r="AZ43" s="296"/>
      <c r="BA43" s="207"/>
      <c r="BB43" s="207"/>
      <c r="BC43" s="296"/>
      <c r="BD43" s="296"/>
      <c r="BE43" s="296"/>
      <c r="BF43" s="296"/>
      <c r="BG43" s="296"/>
      <c r="BH43" s="296"/>
      <c r="BI43" s="296"/>
      <c r="BJ43" s="296"/>
      <c r="BK43" s="296"/>
      <c r="BL43" s="296"/>
      <c r="BM43" s="296"/>
      <c r="BN43" s="207"/>
      <c r="BO43" s="207"/>
      <c r="BP43" s="296"/>
      <c r="BQ43" s="296"/>
      <c r="BR43" s="296"/>
      <c r="BS43" s="296"/>
      <c r="BT43" s="296"/>
      <c r="BU43" s="296"/>
      <c r="BV43" s="296"/>
      <c r="BW43" s="296"/>
      <c r="BX43" s="296"/>
      <c r="BY43" s="296"/>
      <c r="BZ43" s="296"/>
      <c r="CA43" s="207"/>
      <c r="CB43" s="207"/>
      <c r="CC43" s="296"/>
      <c r="CD43" s="296"/>
      <c r="CE43" s="296"/>
      <c r="CF43" s="296"/>
      <c r="CG43" s="296"/>
      <c r="CH43" s="296"/>
      <c r="CI43" s="296"/>
      <c r="CJ43" s="296"/>
      <c r="CK43" s="296"/>
      <c r="CL43" s="296"/>
      <c r="CM43" s="296"/>
      <c r="CN43" s="207"/>
      <c r="CO43" s="207"/>
      <c r="CP43" s="296"/>
      <c r="CQ43" s="296"/>
      <c r="CR43" s="296"/>
      <c r="CS43" s="296"/>
      <c r="CT43" s="296"/>
      <c r="CU43" s="296"/>
      <c r="CV43" s="296"/>
      <c r="CW43" s="296"/>
      <c r="CX43" s="296"/>
      <c r="CY43" s="296"/>
      <c r="CZ43" s="296"/>
      <c r="DA43" s="207"/>
      <c r="DB43" s="207"/>
      <c r="DC43" s="296"/>
      <c r="DD43" s="296"/>
      <c r="DE43" s="296"/>
      <c r="DF43" s="296"/>
      <c r="DG43" s="296"/>
      <c r="DH43" s="296"/>
      <c r="DI43" s="296"/>
      <c r="DJ43" s="296"/>
      <c r="DK43" s="296"/>
      <c r="DL43" s="296"/>
      <c r="DM43" s="296"/>
      <c r="DN43" s="207"/>
      <c r="DO43" s="207"/>
      <c r="DP43" s="296"/>
      <c r="DQ43" s="296"/>
      <c r="DR43" s="296"/>
      <c r="DS43" s="296"/>
      <c r="DT43" s="296"/>
      <c r="DU43" s="296"/>
      <c r="DV43" s="296"/>
      <c r="DW43" s="296"/>
      <c r="DX43" s="296"/>
      <c r="DY43" s="296"/>
      <c r="DZ43" s="296"/>
      <c r="EA43" s="207"/>
      <c r="EB43" s="207"/>
      <c r="EC43" s="296"/>
      <c r="ED43" s="296"/>
      <c r="EE43" s="296"/>
      <c r="EF43" s="296"/>
      <c r="EG43" s="296"/>
      <c r="EH43" s="296"/>
      <c r="EI43" s="296"/>
      <c r="EJ43" s="296"/>
      <c r="EK43" s="296"/>
      <c r="EL43" s="296"/>
      <c r="EM43" s="296"/>
      <c r="EN43" s="207"/>
      <c r="EO43" s="207"/>
      <c r="EP43" s="296"/>
      <c r="EQ43" s="296"/>
      <c r="ER43" s="296"/>
      <c r="ES43" s="296"/>
      <c r="ET43" s="296"/>
      <c r="EU43" s="296"/>
      <c r="EV43" s="296"/>
      <c r="EW43" s="296"/>
      <c r="EX43" s="296"/>
      <c r="EY43" s="296"/>
      <c r="EZ43" s="296"/>
      <c r="FA43" s="207"/>
      <c r="FB43" s="207"/>
      <c r="FC43" s="296"/>
      <c r="FD43" s="296"/>
      <c r="FE43" s="296"/>
      <c r="FF43" s="296"/>
      <c r="FG43" s="296"/>
      <c r="FH43" s="296"/>
      <c r="FI43" s="296"/>
      <c r="FJ43" s="296"/>
      <c r="FK43" s="296"/>
      <c r="FL43" s="296"/>
      <c r="FM43" s="296"/>
      <c r="FN43" s="207"/>
      <c r="FO43" s="207"/>
      <c r="FP43" s="296"/>
      <c r="FQ43" s="296"/>
      <c r="FR43" s="296"/>
      <c r="FS43" s="296"/>
      <c r="FT43" s="296"/>
      <c r="FU43" s="296"/>
      <c r="FV43" s="296"/>
      <c r="FW43" s="296"/>
      <c r="FX43" s="296"/>
      <c r="FY43" s="296"/>
      <c r="FZ43" s="296"/>
      <c r="GA43" s="207"/>
      <c r="GB43" s="207"/>
      <c r="GC43" s="296"/>
      <c r="GD43" s="296"/>
      <c r="GE43" s="296"/>
      <c r="GF43" s="296"/>
      <c r="GG43" s="296"/>
      <c r="GH43" s="296"/>
      <c r="GI43" s="296"/>
      <c r="GJ43" s="296"/>
      <c r="GK43" s="296"/>
      <c r="GL43" s="296"/>
      <c r="GM43" s="296"/>
      <c r="GN43" s="207"/>
      <c r="GO43" s="207"/>
      <c r="GP43" s="296"/>
      <c r="GQ43" s="296"/>
      <c r="GR43" s="296"/>
      <c r="GS43" s="296"/>
      <c r="GT43" s="296"/>
      <c r="GU43" s="296"/>
      <c r="GV43" s="296"/>
      <c r="GW43" s="296"/>
      <c r="GX43" s="296"/>
      <c r="GY43" s="296"/>
      <c r="GZ43" s="296"/>
      <c r="HA43" s="207"/>
      <c r="HB43" s="207"/>
      <c r="HC43" s="296"/>
      <c r="HD43" s="296"/>
      <c r="HE43" s="296"/>
      <c r="HF43" s="296"/>
      <c r="HG43" s="296"/>
      <c r="HH43" s="296"/>
      <c r="HI43" s="296"/>
      <c r="HJ43" s="296"/>
      <c r="HK43" s="296"/>
      <c r="HL43" s="296"/>
      <c r="HM43" s="296"/>
      <c r="HN43" s="207"/>
      <c r="HO43" s="207"/>
      <c r="HP43" s="296"/>
      <c r="HQ43" s="296"/>
      <c r="HR43" s="296"/>
      <c r="HS43" s="296"/>
      <c r="HT43" s="296"/>
      <c r="HU43" s="296"/>
      <c r="HV43" s="296"/>
      <c r="HW43" s="296"/>
      <c r="HX43" s="296"/>
      <c r="HY43" s="296"/>
      <c r="HZ43" s="296"/>
      <c r="IA43" s="207"/>
      <c r="IB43" s="207"/>
      <c r="IC43" s="296"/>
      <c r="ID43" s="296"/>
      <c r="IE43" s="296"/>
      <c r="IF43" s="296"/>
      <c r="IG43" s="296"/>
      <c r="IH43" s="296"/>
      <c r="II43" s="296"/>
      <c r="IJ43" s="296"/>
      <c r="IK43" s="296"/>
      <c r="IL43" s="296"/>
      <c r="IM43" s="296"/>
      <c r="IN43" s="207"/>
      <c r="IO43" s="207"/>
      <c r="IP43" s="296"/>
      <c r="IQ43" s="296"/>
      <c r="IR43" s="296"/>
      <c r="IS43" s="296"/>
      <c r="IT43" s="296"/>
      <c r="IU43" s="296"/>
      <c r="IV43" s="296"/>
    </row>
    <row r="44" spans="1:256" x14ac:dyDescent="0.2">
      <c r="A44" s="218"/>
      <c r="B44" s="219"/>
      <c r="C44" s="294"/>
      <c r="D44" s="294"/>
      <c r="E44" s="294"/>
      <c r="F44" s="294"/>
      <c r="G44" s="294"/>
      <c r="H44" s="294"/>
      <c r="I44" s="294"/>
      <c r="J44" s="294"/>
      <c r="K44" s="294"/>
      <c r="L44" s="294"/>
      <c r="M44" s="295"/>
      <c r="N44" s="211"/>
      <c r="O44" s="211"/>
      <c r="P44" s="297"/>
      <c r="Q44" s="297"/>
      <c r="R44" s="297"/>
      <c r="S44" s="297"/>
      <c r="T44" s="297"/>
      <c r="U44" s="297"/>
      <c r="V44" s="297"/>
      <c r="W44" s="297"/>
      <c r="X44" s="297"/>
      <c r="Y44" s="297"/>
      <c r="Z44" s="297"/>
      <c r="AA44" s="207"/>
      <c r="AB44" s="207"/>
      <c r="AC44" s="296"/>
      <c r="AD44" s="296"/>
      <c r="AE44" s="296"/>
      <c r="AF44" s="296"/>
      <c r="AG44" s="296"/>
      <c r="AH44" s="296"/>
      <c r="AI44" s="296"/>
      <c r="AJ44" s="296"/>
      <c r="AK44" s="296"/>
      <c r="AL44" s="296"/>
      <c r="AM44" s="296"/>
      <c r="AN44" s="207"/>
      <c r="AO44" s="207"/>
      <c r="AP44" s="296"/>
      <c r="AQ44" s="296"/>
      <c r="AR44" s="296"/>
      <c r="AS44" s="296"/>
      <c r="AT44" s="296"/>
      <c r="AU44" s="296"/>
      <c r="AV44" s="296"/>
      <c r="AW44" s="296"/>
      <c r="AX44" s="296"/>
      <c r="AY44" s="296"/>
      <c r="AZ44" s="296"/>
      <c r="BA44" s="207"/>
      <c r="BB44" s="207"/>
      <c r="BC44" s="296"/>
      <c r="BD44" s="296"/>
      <c r="BE44" s="296"/>
      <c r="BF44" s="296"/>
      <c r="BG44" s="296"/>
      <c r="BH44" s="296"/>
      <c r="BI44" s="296"/>
      <c r="BJ44" s="296"/>
      <c r="BK44" s="296"/>
      <c r="BL44" s="296"/>
      <c r="BM44" s="296"/>
      <c r="BN44" s="207"/>
      <c r="BO44" s="207"/>
      <c r="BP44" s="296"/>
      <c r="BQ44" s="296"/>
      <c r="BR44" s="296"/>
      <c r="BS44" s="296"/>
      <c r="BT44" s="296"/>
      <c r="BU44" s="296"/>
      <c r="BV44" s="296"/>
      <c r="BW44" s="296"/>
      <c r="BX44" s="296"/>
      <c r="BY44" s="296"/>
      <c r="BZ44" s="296"/>
      <c r="CA44" s="207"/>
      <c r="CB44" s="207"/>
      <c r="CC44" s="296"/>
      <c r="CD44" s="296"/>
      <c r="CE44" s="296"/>
      <c r="CF44" s="296"/>
      <c r="CG44" s="296"/>
      <c r="CH44" s="296"/>
      <c r="CI44" s="296"/>
      <c r="CJ44" s="296"/>
      <c r="CK44" s="296"/>
      <c r="CL44" s="296"/>
      <c r="CM44" s="296"/>
      <c r="CN44" s="207"/>
      <c r="CO44" s="207"/>
      <c r="CP44" s="296"/>
      <c r="CQ44" s="296"/>
      <c r="CR44" s="296"/>
      <c r="CS44" s="296"/>
      <c r="CT44" s="296"/>
      <c r="CU44" s="296"/>
      <c r="CV44" s="296"/>
      <c r="CW44" s="296"/>
      <c r="CX44" s="296"/>
      <c r="CY44" s="296"/>
      <c r="CZ44" s="296"/>
      <c r="DA44" s="207"/>
      <c r="DB44" s="207"/>
      <c r="DC44" s="296"/>
      <c r="DD44" s="296"/>
      <c r="DE44" s="296"/>
      <c r="DF44" s="296"/>
      <c r="DG44" s="296"/>
      <c r="DH44" s="296"/>
      <c r="DI44" s="296"/>
      <c r="DJ44" s="296"/>
      <c r="DK44" s="296"/>
      <c r="DL44" s="296"/>
      <c r="DM44" s="296"/>
      <c r="DN44" s="207"/>
      <c r="DO44" s="207"/>
      <c r="DP44" s="296"/>
      <c r="DQ44" s="296"/>
      <c r="DR44" s="296"/>
      <c r="DS44" s="296"/>
      <c r="DT44" s="296"/>
      <c r="DU44" s="296"/>
      <c r="DV44" s="296"/>
      <c r="DW44" s="296"/>
      <c r="DX44" s="296"/>
      <c r="DY44" s="296"/>
      <c r="DZ44" s="296"/>
      <c r="EA44" s="207"/>
      <c r="EB44" s="207"/>
      <c r="EC44" s="296"/>
      <c r="ED44" s="296"/>
      <c r="EE44" s="296"/>
      <c r="EF44" s="296"/>
      <c r="EG44" s="296"/>
      <c r="EH44" s="296"/>
      <c r="EI44" s="296"/>
      <c r="EJ44" s="296"/>
      <c r="EK44" s="296"/>
      <c r="EL44" s="296"/>
      <c r="EM44" s="296"/>
      <c r="EN44" s="207"/>
      <c r="EO44" s="207"/>
      <c r="EP44" s="296"/>
      <c r="EQ44" s="296"/>
      <c r="ER44" s="296"/>
      <c r="ES44" s="296"/>
      <c r="ET44" s="296"/>
      <c r="EU44" s="296"/>
      <c r="EV44" s="296"/>
      <c r="EW44" s="296"/>
      <c r="EX44" s="296"/>
      <c r="EY44" s="296"/>
      <c r="EZ44" s="296"/>
      <c r="FA44" s="207"/>
      <c r="FB44" s="207"/>
      <c r="FC44" s="296"/>
      <c r="FD44" s="296"/>
      <c r="FE44" s="296"/>
      <c r="FF44" s="296"/>
      <c r="FG44" s="296"/>
      <c r="FH44" s="296"/>
      <c r="FI44" s="296"/>
      <c r="FJ44" s="296"/>
      <c r="FK44" s="296"/>
      <c r="FL44" s="296"/>
      <c r="FM44" s="296"/>
      <c r="FN44" s="207"/>
      <c r="FO44" s="207"/>
      <c r="FP44" s="296"/>
      <c r="FQ44" s="296"/>
      <c r="FR44" s="296"/>
      <c r="FS44" s="296"/>
      <c r="FT44" s="296"/>
      <c r="FU44" s="296"/>
      <c r="FV44" s="296"/>
      <c r="FW44" s="296"/>
      <c r="FX44" s="296"/>
      <c r="FY44" s="296"/>
      <c r="FZ44" s="296"/>
      <c r="GA44" s="207"/>
      <c r="GB44" s="207"/>
      <c r="GC44" s="296"/>
      <c r="GD44" s="296"/>
      <c r="GE44" s="296"/>
      <c r="GF44" s="296"/>
      <c r="GG44" s="296"/>
      <c r="GH44" s="296"/>
      <c r="GI44" s="296"/>
      <c r="GJ44" s="296"/>
      <c r="GK44" s="296"/>
      <c r="GL44" s="296"/>
      <c r="GM44" s="296"/>
      <c r="GN44" s="207"/>
      <c r="GO44" s="207"/>
      <c r="GP44" s="296"/>
      <c r="GQ44" s="296"/>
      <c r="GR44" s="296"/>
      <c r="GS44" s="296"/>
      <c r="GT44" s="296"/>
      <c r="GU44" s="296"/>
      <c r="GV44" s="296"/>
      <c r="GW44" s="296"/>
      <c r="GX44" s="296"/>
      <c r="GY44" s="296"/>
      <c r="GZ44" s="296"/>
      <c r="HA44" s="207"/>
      <c r="HB44" s="207"/>
      <c r="HC44" s="296"/>
      <c r="HD44" s="296"/>
      <c r="HE44" s="296"/>
      <c r="HF44" s="296"/>
      <c r="HG44" s="296"/>
      <c r="HH44" s="296"/>
      <c r="HI44" s="296"/>
      <c r="HJ44" s="296"/>
      <c r="HK44" s="296"/>
      <c r="HL44" s="296"/>
      <c r="HM44" s="296"/>
      <c r="HN44" s="207"/>
      <c r="HO44" s="207"/>
      <c r="HP44" s="296"/>
      <c r="HQ44" s="296"/>
      <c r="HR44" s="296"/>
      <c r="HS44" s="296"/>
      <c r="HT44" s="296"/>
      <c r="HU44" s="296"/>
      <c r="HV44" s="296"/>
      <c r="HW44" s="296"/>
      <c r="HX44" s="296"/>
      <c r="HY44" s="296"/>
      <c r="HZ44" s="296"/>
      <c r="IA44" s="207"/>
      <c r="IB44" s="207"/>
      <c r="IC44" s="296"/>
      <c r="ID44" s="296"/>
      <c r="IE44" s="296"/>
      <c r="IF44" s="296"/>
      <c r="IG44" s="296"/>
      <c r="IH44" s="296"/>
      <c r="II44" s="296"/>
      <c r="IJ44" s="296"/>
      <c r="IK44" s="296"/>
      <c r="IL44" s="296"/>
      <c r="IM44" s="296"/>
      <c r="IN44" s="207"/>
      <c r="IO44" s="207"/>
      <c r="IP44" s="296"/>
      <c r="IQ44" s="296"/>
      <c r="IR44" s="296"/>
      <c r="IS44" s="296"/>
      <c r="IT44" s="296"/>
      <c r="IU44" s="296"/>
      <c r="IV44" s="296"/>
    </row>
    <row r="45" spans="1:256" x14ac:dyDescent="0.2">
      <c r="A45" s="218"/>
      <c r="B45" s="219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5"/>
      <c r="N45" s="211"/>
      <c r="O45" s="211"/>
      <c r="P45" s="297"/>
      <c r="Q45" s="297"/>
      <c r="R45" s="297"/>
      <c r="S45" s="297"/>
      <c r="T45" s="297"/>
      <c r="U45" s="297"/>
      <c r="V45" s="297"/>
      <c r="W45" s="297"/>
      <c r="X45" s="297"/>
      <c r="Y45" s="297"/>
      <c r="Z45" s="297"/>
      <c r="AA45" s="207"/>
      <c r="AB45" s="207"/>
      <c r="AC45" s="296"/>
      <c r="AD45" s="296"/>
      <c r="AE45" s="296"/>
      <c r="AF45" s="296"/>
      <c r="AG45" s="296"/>
      <c r="AH45" s="296"/>
      <c r="AI45" s="296"/>
      <c r="AJ45" s="296"/>
      <c r="AK45" s="296"/>
      <c r="AL45" s="296"/>
      <c r="AM45" s="296"/>
      <c r="AN45" s="207"/>
      <c r="AO45" s="207"/>
      <c r="AP45" s="296"/>
      <c r="AQ45" s="296"/>
      <c r="AR45" s="296"/>
      <c r="AS45" s="296"/>
      <c r="AT45" s="296"/>
      <c r="AU45" s="296"/>
      <c r="AV45" s="296"/>
      <c r="AW45" s="296"/>
      <c r="AX45" s="296"/>
      <c r="AY45" s="296"/>
      <c r="AZ45" s="296"/>
      <c r="BA45" s="207"/>
      <c r="BB45" s="207"/>
      <c r="BC45" s="296"/>
      <c r="BD45" s="296"/>
      <c r="BE45" s="296"/>
      <c r="BF45" s="296"/>
      <c r="BG45" s="296"/>
      <c r="BH45" s="296"/>
      <c r="BI45" s="296"/>
      <c r="BJ45" s="296"/>
      <c r="BK45" s="296"/>
      <c r="BL45" s="296"/>
      <c r="BM45" s="296"/>
      <c r="BN45" s="207"/>
      <c r="BO45" s="207"/>
      <c r="BP45" s="296"/>
      <c r="BQ45" s="296"/>
      <c r="BR45" s="296"/>
      <c r="BS45" s="296"/>
      <c r="BT45" s="296"/>
      <c r="BU45" s="296"/>
      <c r="BV45" s="296"/>
      <c r="BW45" s="296"/>
      <c r="BX45" s="296"/>
      <c r="BY45" s="296"/>
      <c r="BZ45" s="296"/>
      <c r="CA45" s="207"/>
      <c r="CB45" s="207"/>
      <c r="CC45" s="296"/>
      <c r="CD45" s="296"/>
      <c r="CE45" s="296"/>
      <c r="CF45" s="296"/>
      <c r="CG45" s="296"/>
      <c r="CH45" s="296"/>
      <c r="CI45" s="296"/>
      <c r="CJ45" s="296"/>
      <c r="CK45" s="296"/>
      <c r="CL45" s="296"/>
      <c r="CM45" s="296"/>
      <c r="CN45" s="207"/>
      <c r="CO45" s="207"/>
      <c r="CP45" s="296"/>
      <c r="CQ45" s="296"/>
      <c r="CR45" s="296"/>
      <c r="CS45" s="296"/>
      <c r="CT45" s="296"/>
      <c r="CU45" s="296"/>
      <c r="CV45" s="296"/>
      <c r="CW45" s="296"/>
      <c r="CX45" s="296"/>
      <c r="CY45" s="296"/>
      <c r="CZ45" s="296"/>
      <c r="DA45" s="207"/>
      <c r="DB45" s="207"/>
      <c r="DC45" s="296"/>
      <c r="DD45" s="296"/>
      <c r="DE45" s="296"/>
      <c r="DF45" s="296"/>
      <c r="DG45" s="296"/>
      <c r="DH45" s="296"/>
      <c r="DI45" s="296"/>
      <c r="DJ45" s="296"/>
      <c r="DK45" s="296"/>
      <c r="DL45" s="296"/>
      <c r="DM45" s="296"/>
      <c r="DN45" s="207"/>
      <c r="DO45" s="207"/>
      <c r="DP45" s="296"/>
      <c r="DQ45" s="296"/>
      <c r="DR45" s="296"/>
      <c r="DS45" s="296"/>
      <c r="DT45" s="296"/>
      <c r="DU45" s="296"/>
      <c r="DV45" s="296"/>
      <c r="DW45" s="296"/>
      <c r="DX45" s="296"/>
      <c r="DY45" s="296"/>
      <c r="DZ45" s="296"/>
      <c r="EA45" s="207"/>
      <c r="EB45" s="207"/>
      <c r="EC45" s="296"/>
      <c r="ED45" s="296"/>
      <c r="EE45" s="296"/>
      <c r="EF45" s="296"/>
      <c r="EG45" s="296"/>
      <c r="EH45" s="296"/>
      <c r="EI45" s="296"/>
      <c r="EJ45" s="296"/>
      <c r="EK45" s="296"/>
      <c r="EL45" s="296"/>
      <c r="EM45" s="296"/>
      <c r="EN45" s="207"/>
      <c r="EO45" s="207"/>
      <c r="EP45" s="296"/>
      <c r="EQ45" s="296"/>
      <c r="ER45" s="296"/>
      <c r="ES45" s="296"/>
      <c r="ET45" s="296"/>
      <c r="EU45" s="296"/>
      <c r="EV45" s="296"/>
      <c r="EW45" s="296"/>
      <c r="EX45" s="296"/>
      <c r="EY45" s="296"/>
      <c r="EZ45" s="296"/>
      <c r="FA45" s="207"/>
      <c r="FB45" s="207"/>
      <c r="FC45" s="296"/>
      <c r="FD45" s="296"/>
      <c r="FE45" s="296"/>
      <c r="FF45" s="296"/>
      <c r="FG45" s="296"/>
      <c r="FH45" s="296"/>
      <c r="FI45" s="296"/>
      <c r="FJ45" s="296"/>
      <c r="FK45" s="296"/>
      <c r="FL45" s="296"/>
      <c r="FM45" s="296"/>
      <c r="FN45" s="207"/>
      <c r="FO45" s="207"/>
      <c r="FP45" s="296"/>
      <c r="FQ45" s="296"/>
      <c r="FR45" s="296"/>
      <c r="FS45" s="296"/>
      <c r="FT45" s="296"/>
      <c r="FU45" s="296"/>
      <c r="FV45" s="296"/>
      <c r="FW45" s="296"/>
      <c r="FX45" s="296"/>
      <c r="FY45" s="296"/>
      <c r="FZ45" s="296"/>
      <c r="GA45" s="207"/>
      <c r="GB45" s="207"/>
      <c r="GC45" s="296"/>
      <c r="GD45" s="296"/>
      <c r="GE45" s="296"/>
      <c r="GF45" s="296"/>
      <c r="GG45" s="296"/>
      <c r="GH45" s="296"/>
      <c r="GI45" s="296"/>
      <c r="GJ45" s="296"/>
      <c r="GK45" s="296"/>
      <c r="GL45" s="296"/>
      <c r="GM45" s="296"/>
      <c r="GN45" s="207"/>
      <c r="GO45" s="207"/>
      <c r="GP45" s="296"/>
      <c r="GQ45" s="296"/>
      <c r="GR45" s="296"/>
      <c r="GS45" s="296"/>
      <c r="GT45" s="296"/>
      <c r="GU45" s="296"/>
      <c r="GV45" s="296"/>
      <c r="GW45" s="296"/>
      <c r="GX45" s="296"/>
      <c r="GY45" s="296"/>
      <c r="GZ45" s="296"/>
      <c r="HA45" s="207"/>
      <c r="HB45" s="207"/>
      <c r="HC45" s="296"/>
      <c r="HD45" s="296"/>
      <c r="HE45" s="296"/>
      <c r="HF45" s="296"/>
      <c r="HG45" s="296"/>
      <c r="HH45" s="296"/>
      <c r="HI45" s="296"/>
      <c r="HJ45" s="296"/>
      <c r="HK45" s="296"/>
      <c r="HL45" s="296"/>
      <c r="HM45" s="296"/>
      <c r="HN45" s="207"/>
      <c r="HO45" s="207"/>
      <c r="HP45" s="296"/>
      <c r="HQ45" s="296"/>
      <c r="HR45" s="296"/>
      <c r="HS45" s="296"/>
      <c r="HT45" s="296"/>
      <c r="HU45" s="296"/>
      <c r="HV45" s="296"/>
      <c r="HW45" s="296"/>
      <c r="HX45" s="296"/>
      <c r="HY45" s="296"/>
      <c r="HZ45" s="296"/>
      <c r="IA45" s="207"/>
      <c r="IB45" s="207"/>
      <c r="IC45" s="296"/>
      <c r="ID45" s="296"/>
      <c r="IE45" s="296"/>
      <c r="IF45" s="296"/>
      <c r="IG45" s="296"/>
      <c r="IH45" s="296"/>
      <c r="II45" s="296"/>
      <c r="IJ45" s="296"/>
      <c r="IK45" s="296"/>
      <c r="IL45" s="296"/>
      <c r="IM45" s="296"/>
      <c r="IN45" s="207"/>
      <c r="IO45" s="207"/>
      <c r="IP45" s="296"/>
      <c r="IQ45" s="296"/>
      <c r="IR45" s="296"/>
      <c r="IS45" s="296"/>
      <c r="IT45" s="296"/>
      <c r="IU45" s="296"/>
      <c r="IV45" s="296"/>
    </row>
    <row r="46" spans="1:256" x14ac:dyDescent="0.2">
      <c r="A46" s="218"/>
      <c r="B46" s="219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94"/>
      <c r="D47" s="294"/>
      <c r="E47" s="294"/>
      <c r="F47" s="294"/>
      <c r="G47" s="294"/>
      <c r="H47" s="294"/>
      <c r="I47" s="294"/>
      <c r="J47" s="294"/>
      <c r="K47" s="294"/>
      <c r="L47" s="294"/>
      <c r="M47" s="29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94"/>
      <c r="D48" s="294"/>
      <c r="E48" s="294"/>
      <c r="F48" s="294"/>
      <c r="G48" s="294"/>
      <c r="H48" s="294"/>
      <c r="I48" s="294"/>
      <c r="J48" s="294"/>
      <c r="K48" s="294"/>
      <c r="L48" s="294"/>
      <c r="M48" s="29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94"/>
      <c r="D49" s="294"/>
      <c r="E49" s="294"/>
      <c r="F49" s="294"/>
      <c r="G49" s="294"/>
      <c r="H49" s="294"/>
      <c r="I49" s="294"/>
      <c r="J49" s="294"/>
      <c r="K49" s="294"/>
      <c r="L49" s="294"/>
      <c r="M49" s="29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5"/>
      <c r="N50" s="211"/>
      <c r="O50" s="211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07"/>
      <c r="AB50" s="207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07"/>
      <c r="AO50" s="207"/>
      <c r="AP50" s="212"/>
      <c r="AQ50" s="212"/>
      <c r="AR50" s="212"/>
      <c r="AS50" s="212"/>
      <c r="AT50" s="212"/>
      <c r="AU50" s="212"/>
      <c r="AV50" s="212"/>
      <c r="AW50" s="212"/>
      <c r="AX50" s="212"/>
      <c r="AY50" s="212"/>
      <c r="AZ50" s="212"/>
      <c r="BA50" s="207"/>
      <c r="BB50" s="207"/>
      <c r="BC50" s="212"/>
      <c r="BD50" s="212"/>
      <c r="BE50" s="212"/>
      <c r="BF50" s="212"/>
      <c r="BG50" s="212"/>
      <c r="BH50" s="212"/>
      <c r="BI50" s="212"/>
      <c r="BJ50" s="212"/>
      <c r="BK50" s="212"/>
      <c r="BL50" s="212"/>
      <c r="BM50" s="212"/>
      <c r="BN50" s="207"/>
      <c r="BO50" s="207"/>
      <c r="BP50" s="212"/>
      <c r="BQ50" s="212"/>
      <c r="BR50" s="212"/>
      <c r="BS50" s="212"/>
      <c r="BT50" s="212"/>
      <c r="BU50" s="212"/>
      <c r="BV50" s="212"/>
      <c r="BW50" s="212"/>
      <c r="BX50" s="212"/>
      <c r="BY50" s="212"/>
      <c r="BZ50" s="212"/>
      <c r="CA50" s="207"/>
      <c r="CB50" s="207"/>
      <c r="CC50" s="212"/>
      <c r="CD50" s="212"/>
      <c r="CE50" s="212"/>
      <c r="CF50" s="212"/>
      <c r="CG50" s="212"/>
      <c r="CH50" s="212"/>
      <c r="CI50" s="212"/>
      <c r="CJ50" s="212"/>
      <c r="CK50" s="212"/>
      <c r="CL50" s="212"/>
      <c r="CM50" s="212"/>
      <c r="CN50" s="207"/>
      <c r="CO50" s="207"/>
      <c r="CP50" s="212"/>
      <c r="CQ50" s="212"/>
      <c r="CR50" s="212"/>
      <c r="CS50" s="212"/>
      <c r="CT50" s="212"/>
      <c r="CU50" s="212"/>
      <c r="CV50" s="212"/>
      <c r="CW50" s="212"/>
      <c r="CX50" s="212"/>
      <c r="CY50" s="212"/>
      <c r="CZ50" s="212"/>
      <c r="DA50" s="207"/>
      <c r="DB50" s="207"/>
      <c r="DC50" s="212"/>
      <c r="DD50" s="212"/>
      <c r="DE50" s="212"/>
      <c r="DF50" s="212"/>
      <c r="DG50" s="212"/>
      <c r="DH50" s="212"/>
      <c r="DI50" s="212"/>
      <c r="DJ50" s="212"/>
      <c r="DK50" s="212"/>
      <c r="DL50" s="212"/>
      <c r="DM50" s="212"/>
      <c r="DN50" s="207"/>
      <c r="DO50" s="207"/>
      <c r="DP50" s="212"/>
      <c r="DQ50" s="212"/>
      <c r="DR50" s="212"/>
      <c r="DS50" s="212"/>
      <c r="DT50" s="212"/>
      <c r="DU50" s="212"/>
      <c r="DV50" s="212"/>
      <c r="DW50" s="212"/>
      <c r="DX50" s="212"/>
      <c r="DY50" s="212"/>
      <c r="DZ50" s="212"/>
      <c r="EA50" s="207"/>
      <c r="EB50" s="207"/>
      <c r="EC50" s="212"/>
      <c r="ED50" s="212"/>
      <c r="EE50" s="212"/>
      <c r="EF50" s="212"/>
      <c r="EG50" s="212"/>
      <c r="EH50" s="212"/>
      <c r="EI50" s="212"/>
      <c r="EJ50" s="212"/>
      <c r="EK50" s="212"/>
      <c r="EL50" s="212"/>
      <c r="EM50" s="212"/>
      <c r="EN50" s="207"/>
      <c r="EO50" s="207"/>
      <c r="EP50" s="212"/>
      <c r="EQ50" s="212"/>
      <c r="ER50" s="212"/>
      <c r="ES50" s="212"/>
      <c r="ET50" s="212"/>
      <c r="EU50" s="212"/>
      <c r="EV50" s="212"/>
      <c r="EW50" s="212"/>
      <c r="EX50" s="212"/>
      <c r="EY50" s="212"/>
      <c r="EZ50" s="212"/>
      <c r="FA50" s="207"/>
      <c r="FB50" s="207"/>
      <c r="FC50" s="212"/>
      <c r="FD50" s="212"/>
      <c r="FE50" s="212"/>
      <c r="FF50" s="212"/>
      <c r="FG50" s="212"/>
      <c r="FH50" s="212"/>
      <c r="FI50" s="212"/>
      <c r="FJ50" s="212"/>
      <c r="FK50" s="212"/>
      <c r="FL50" s="212"/>
      <c r="FM50" s="212"/>
      <c r="FN50" s="207"/>
      <c r="FO50" s="207"/>
      <c r="FP50" s="212"/>
      <c r="FQ50" s="212"/>
      <c r="FR50" s="212"/>
      <c r="FS50" s="212"/>
      <c r="FT50" s="212"/>
      <c r="FU50" s="212"/>
      <c r="FV50" s="212"/>
      <c r="FW50" s="212"/>
      <c r="FX50" s="212"/>
      <c r="FY50" s="212"/>
      <c r="FZ50" s="212"/>
      <c r="GA50" s="207"/>
      <c r="GB50" s="207"/>
      <c r="GC50" s="212"/>
      <c r="GD50" s="212"/>
      <c r="GE50" s="212"/>
      <c r="GF50" s="212"/>
      <c r="GG50" s="212"/>
      <c r="GH50" s="212"/>
      <c r="GI50" s="212"/>
      <c r="GJ50" s="212"/>
      <c r="GK50" s="212"/>
      <c r="GL50" s="212"/>
      <c r="GM50" s="212"/>
      <c r="GN50" s="207"/>
      <c r="GO50" s="207"/>
      <c r="GP50" s="212"/>
      <c r="GQ50" s="212"/>
      <c r="GR50" s="212"/>
      <c r="GS50" s="212"/>
      <c r="GT50" s="212"/>
      <c r="GU50" s="212"/>
      <c r="GV50" s="212"/>
      <c r="GW50" s="212"/>
      <c r="GX50" s="212"/>
      <c r="GY50" s="212"/>
      <c r="GZ50" s="212"/>
      <c r="HA50" s="207"/>
      <c r="HB50" s="207"/>
      <c r="HC50" s="212"/>
      <c r="HD50" s="212"/>
      <c r="HE50" s="212"/>
      <c r="HF50" s="212"/>
      <c r="HG50" s="212"/>
      <c r="HH50" s="212"/>
      <c r="HI50" s="212"/>
      <c r="HJ50" s="212"/>
      <c r="HK50" s="212"/>
      <c r="HL50" s="212"/>
      <c r="HM50" s="212"/>
      <c r="HN50" s="207"/>
      <c r="HO50" s="207"/>
      <c r="HP50" s="212"/>
      <c r="HQ50" s="212"/>
      <c r="HR50" s="212"/>
      <c r="HS50" s="212"/>
      <c r="HT50" s="212"/>
      <c r="HU50" s="212"/>
      <c r="HV50" s="212"/>
      <c r="HW50" s="212"/>
      <c r="HX50" s="212"/>
      <c r="HY50" s="212"/>
      <c r="HZ50" s="212"/>
      <c r="IA50" s="207"/>
      <c r="IB50" s="207"/>
      <c r="IC50" s="212"/>
      <c r="ID50" s="212"/>
      <c r="IE50" s="212"/>
      <c r="IF50" s="212"/>
      <c r="IG50" s="212"/>
      <c r="IH50" s="212"/>
      <c r="II50" s="212"/>
      <c r="IJ50" s="212"/>
      <c r="IK50" s="212"/>
      <c r="IL50" s="212"/>
      <c r="IM50" s="212"/>
      <c r="IN50" s="207"/>
      <c r="IO50" s="207"/>
      <c r="IP50" s="212"/>
      <c r="IQ50" s="212"/>
      <c r="IR50" s="212"/>
      <c r="IS50" s="212"/>
      <c r="IT50" s="212"/>
      <c r="IU50" s="212"/>
      <c r="IV50" s="212"/>
    </row>
    <row r="51" spans="1:256" x14ac:dyDescent="0.2">
      <c r="A51" s="218"/>
      <c r="B51" s="219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5"/>
      <c r="N51" s="211"/>
      <c r="O51" s="211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07"/>
      <c r="AB51" s="207"/>
      <c r="AC51" s="212"/>
      <c r="AD51" s="212"/>
      <c r="AE51" s="212"/>
      <c r="AF51" s="212"/>
      <c r="AG51" s="212"/>
      <c r="AH51" s="212"/>
      <c r="AI51" s="212"/>
      <c r="AJ51" s="212"/>
      <c r="AK51" s="212"/>
      <c r="AL51" s="212"/>
      <c r="AM51" s="212"/>
      <c r="AN51" s="207"/>
      <c r="AO51" s="207"/>
      <c r="AP51" s="212"/>
      <c r="AQ51" s="212"/>
      <c r="AR51" s="212"/>
      <c r="AS51" s="212"/>
      <c r="AT51" s="212"/>
      <c r="AU51" s="212"/>
      <c r="AV51" s="212"/>
      <c r="AW51" s="212"/>
      <c r="AX51" s="212"/>
      <c r="AY51" s="212"/>
      <c r="AZ51" s="212"/>
      <c r="BA51" s="207"/>
      <c r="BB51" s="207"/>
      <c r="BC51" s="212"/>
      <c r="BD51" s="212"/>
      <c r="BE51" s="212"/>
      <c r="BF51" s="212"/>
      <c r="BG51" s="212"/>
      <c r="BH51" s="212"/>
      <c r="BI51" s="212"/>
      <c r="BJ51" s="212"/>
      <c r="BK51" s="212"/>
      <c r="BL51" s="212"/>
      <c r="BM51" s="212"/>
      <c r="BN51" s="207"/>
      <c r="BO51" s="207"/>
      <c r="BP51" s="212"/>
      <c r="BQ51" s="212"/>
      <c r="BR51" s="212"/>
      <c r="BS51" s="212"/>
      <c r="BT51" s="212"/>
      <c r="BU51" s="212"/>
      <c r="BV51" s="212"/>
      <c r="BW51" s="212"/>
      <c r="BX51" s="212"/>
      <c r="BY51" s="212"/>
      <c r="BZ51" s="212"/>
      <c r="CA51" s="207"/>
      <c r="CB51" s="207"/>
      <c r="CC51" s="212"/>
      <c r="CD51" s="212"/>
      <c r="CE51" s="212"/>
      <c r="CF51" s="212"/>
      <c r="CG51" s="212"/>
      <c r="CH51" s="212"/>
      <c r="CI51" s="212"/>
      <c r="CJ51" s="212"/>
      <c r="CK51" s="212"/>
      <c r="CL51" s="212"/>
      <c r="CM51" s="212"/>
      <c r="CN51" s="207"/>
      <c r="CO51" s="207"/>
      <c r="CP51" s="212"/>
      <c r="CQ51" s="212"/>
      <c r="CR51" s="212"/>
      <c r="CS51" s="212"/>
      <c r="CT51" s="212"/>
      <c r="CU51" s="212"/>
      <c r="CV51" s="212"/>
      <c r="CW51" s="212"/>
      <c r="CX51" s="212"/>
      <c r="CY51" s="212"/>
      <c r="CZ51" s="212"/>
      <c r="DA51" s="207"/>
      <c r="DB51" s="207"/>
      <c r="DC51" s="212"/>
      <c r="DD51" s="212"/>
      <c r="DE51" s="212"/>
      <c r="DF51" s="212"/>
      <c r="DG51" s="212"/>
      <c r="DH51" s="212"/>
      <c r="DI51" s="212"/>
      <c r="DJ51" s="212"/>
      <c r="DK51" s="212"/>
      <c r="DL51" s="212"/>
      <c r="DM51" s="212"/>
      <c r="DN51" s="207"/>
      <c r="DO51" s="207"/>
      <c r="DP51" s="212"/>
      <c r="DQ51" s="212"/>
      <c r="DR51" s="212"/>
      <c r="DS51" s="212"/>
      <c r="DT51" s="212"/>
      <c r="DU51" s="212"/>
      <c r="DV51" s="212"/>
      <c r="DW51" s="212"/>
      <c r="DX51" s="212"/>
      <c r="DY51" s="212"/>
      <c r="DZ51" s="212"/>
      <c r="EA51" s="207"/>
      <c r="EB51" s="207"/>
      <c r="EC51" s="212"/>
      <c r="ED51" s="212"/>
      <c r="EE51" s="212"/>
      <c r="EF51" s="212"/>
      <c r="EG51" s="212"/>
      <c r="EH51" s="212"/>
      <c r="EI51" s="212"/>
      <c r="EJ51" s="212"/>
      <c r="EK51" s="212"/>
      <c r="EL51" s="212"/>
      <c r="EM51" s="212"/>
      <c r="EN51" s="207"/>
      <c r="EO51" s="207"/>
      <c r="EP51" s="212"/>
      <c r="EQ51" s="212"/>
      <c r="ER51" s="212"/>
      <c r="ES51" s="212"/>
      <c r="ET51" s="212"/>
      <c r="EU51" s="212"/>
      <c r="EV51" s="212"/>
      <c r="EW51" s="212"/>
      <c r="EX51" s="212"/>
      <c r="EY51" s="212"/>
      <c r="EZ51" s="212"/>
      <c r="FA51" s="207"/>
      <c r="FB51" s="207"/>
      <c r="FC51" s="212"/>
      <c r="FD51" s="212"/>
      <c r="FE51" s="212"/>
      <c r="FF51" s="212"/>
      <c r="FG51" s="212"/>
      <c r="FH51" s="212"/>
      <c r="FI51" s="212"/>
      <c r="FJ51" s="212"/>
      <c r="FK51" s="212"/>
      <c r="FL51" s="212"/>
      <c r="FM51" s="212"/>
      <c r="FN51" s="207"/>
      <c r="FO51" s="207"/>
      <c r="FP51" s="212"/>
      <c r="FQ51" s="212"/>
      <c r="FR51" s="212"/>
      <c r="FS51" s="212"/>
      <c r="FT51" s="212"/>
      <c r="FU51" s="212"/>
      <c r="FV51" s="212"/>
      <c r="FW51" s="212"/>
      <c r="FX51" s="212"/>
      <c r="FY51" s="212"/>
      <c r="FZ51" s="212"/>
      <c r="GA51" s="207"/>
      <c r="GB51" s="207"/>
      <c r="GC51" s="212"/>
      <c r="GD51" s="212"/>
      <c r="GE51" s="212"/>
      <c r="GF51" s="212"/>
      <c r="GG51" s="212"/>
      <c r="GH51" s="212"/>
      <c r="GI51" s="212"/>
      <c r="GJ51" s="212"/>
      <c r="GK51" s="212"/>
      <c r="GL51" s="212"/>
      <c r="GM51" s="212"/>
      <c r="GN51" s="207"/>
      <c r="GO51" s="207"/>
      <c r="GP51" s="212"/>
      <c r="GQ51" s="212"/>
      <c r="GR51" s="212"/>
      <c r="GS51" s="212"/>
      <c r="GT51" s="212"/>
      <c r="GU51" s="212"/>
      <c r="GV51" s="212"/>
      <c r="GW51" s="212"/>
      <c r="GX51" s="212"/>
      <c r="GY51" s="212"/>
      <c r="GZ51" s="212"/>
      <c r="HA51" s="207"/>
      <c r="HB51" s="207"/>
      <c r="HC51" s="212"/>
      <c r="HD51" s="212"/>
      <c r="HE51" s="212"/>
      <c r="HF51" s="212"/>
      <c r="HG51" s="212"/>
      <c r="HH51" s="212"/>
      <c r="HI51" s="212"/>
      <c r="HJ51" s="212"/>
      <c r="HK51" s="212"/>
      <c r="HL51" s="212"/>
      <c r="HM51" s="212"/>
      <c r="HN51" s="207"/>
      <c r="HO51" s="207"/>
      <c r="HP51" s="212"/>
      <c r="HQ51" s="212"/>
      <c r="HR51" s="212"/>
      <c r="HS51" s="212"/>
      <c r="HT51" s="212"/>
      <c r="HU51" s="212"/>
      <c r="HV51" s="212"/>
      <c r="HW51" s="212"/>
      <c r="HX51" s="212"/>
      <c r="HY51" s="212"/>
      <c r="HZ51" s="212"/>
      <c r="IA51" s="207"/>
      <c r="IB51" s="207"/>
      <c r="IC51" s="212"/>
      <c r="ID51" s="212"/>
      <c r="IE51" s="212"/>
      <c r="IF51" s="212"/>
      <c r="IG51" s="212"/>
      <c r="IH51" s="212"/>
      <c r="II51" s="212"/>
      <c r="IJ51" s="212"/>
      <c r="IK51" s="212"/>
      <c r="IL51" s="212"/>
      <c r="IM51" s="212"/>
      <c r="IN51" s="207"/>
      <c r="IO51" s="207"/>
      <c r="IP51" s="212"/>
      <c r="IQ51" s="212"/>
      <c r="IR51" s="212"/>
      <c r="IS51" s="212"/>
      <c r="IT51" s="212"/>
      <c r="IU51" s="212"/>
      <c r="IV51" s="212"/>
    </row>
    <row r="52" spans="1:256" x14ac:dyDescent="0.2">
      <c r="A52" s="218"/>
      <c r="B52" s="219"/>
      <c r="C52" s="294"/>
      <c r="D52" s="294"/>
      <c r="E52" s="294"/>
      <c r="F52" s="294"/>
      <c r="G52" s="294"/>
      <c r="H52" s="294"/>
      <c r="I52" s="294"/>
      <c r="J52" s="294"/>
      <c r="K52" s="294"/>
      <c r="L52" s="294"/>
      <c r="M52" s="295"/>
      <c r="N52" s="211"/>
      <c r="O52" s="211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07"/>
      <c r="AB52" s="207"/>
      <c r="AC52" s="212"/>
      <c r="AD52" s="212"/>
      <c r="AE52" s="212"/>
      <c r="AF52" s="212"/>
      <c r="AG52" s="212"/>
      <c r="AH52" s="212"/>
      <c r="AI52" s="212"/>
      <c r="AJ52" s="212"/>
      <c r="AK52" s="212"/>
      <c r="AL52" s="212"/>
      <c r="AM52" s="212"/>
      <c r="AN52" s="207"/>
      <c r="AO52" s="207"/>
      <c r="AP52" s="212"/>
      <c r="AQ52" s="212"/>
      <c r="AR52" s="212"/>
      <c r="AS52" s="212"/>
      <c r="AT52" s="212"/>
      <c r="AU52" s="212"/>
      <c r="AV52" s="212"/>
      <c r="AW52" s="212"/>
      <c r="AX52" s="212"/>
      <c r="AY52" s="212"/>
      <c r="AZ52" s="212"/>
      <c r="BA52" s="207"/>
      <c r="BB52" s="207"/>
      <c r="BC52" s="212"/>
      <c r="BD52" s="212"/>
      <c r="BE52" s="212"/>
      <c r="BF52" s="212"/>
      <c r="BG52" s="212"/>
      <c r="BH52" s="212"/>
      <c r="BI52" s="212"/>
      <c r="BJ52" s="212"/>
      <c r="BK52" s="212"/>
      <c r="BL52" s="212"/>
      <c r="BM52" s="212"/>
      <c r="BN52" s="207"/>
      <c r="BO52" s="207"/>
      <c r="BP52" s="212"/>
      <c r="BQ52" s="212"/>
      <c r="BR52" s="212"/>
      <c r="BS52" s="212"/>
      <c r="BT52" s="212"/>
      <c r="BU52" s="212"/>
      <c r="BV52" s="212"/>
      <c r="BW52" s="212"/>
      <c r="BX52" s="212"/>
      <c r="BY52" s="212"/>
      <c r="BZ52" s="212"/>
      <c r="CA52" s="207"/>
      <c r="CB52" s="207"/>
      <c r="CC52" s="212"/>
      <c r="CD52" s="212"/>
      <c r="CE52" s="212"/>
      <c r="CF52" s="212"/>
      <c r="CG52" s="212"/>
      <c r="CH52" s="212"/>
      <c r="CI52" s="212"/>
      <c r="CJ52" s="212"/>
      <c r="CK52" s="212"/>
      <c r="CL52" s="212"/>
      <c r="CM52" s="212"/>
      <c r="CN52" s="207"/>
      <c r="CO52" s="207"/>
      <c r="CP52" s="212"/>
      <c r="CQ52" s="212"/>
      <c r="CR52" s="212"/>
      <c r="CS52" s="212"/>
      <c r="CT52" s="212"/>
      <c r="CU52" s="212"/>
      <c r="CV52" s="212"/>
      <c r="CW52" s="212"/>
      <c r="CX52" s="212"/>
      <c r="CY52" s="212"/>
      <c r="CZ52" s="212"/>
      <c r="DA52" s="207"/>
      <c r="DB52" s="207"/>
      <c r="DC52" s="212"/>
      <c r="DD52" s="212"/>
      <c r="DE52" s="212"/>
      <c r="DF52" s="212"/>
      <c r="DG52" s="212"/>
      <c r="DH52" s="212"/>
      <c r="DI52" s="212"/>
      <c r="DJ52" s="212"/>
      <c r="DK52" s="212"/>
      <c r="DL52" s="212"/>
      <c r="DM52" s="212"/>
      <c r="DN52" s="207"/>
      <c r="DO52" s="207"/>
      <c r="DP52" s="212"/>
      <c r="DQ52" s="212"/>
      <c r="DR52" s="212"/>
      <c r="DS52" s="212"/>
      <c r="DT52" s="212"/>
      <c r="DU52" s="212"/>
      <c r="DV52" s="212"/>
      <c r="DW52" s="212"/>
      <c r="DX52" s="212"/>
      <c r="DY52" s="212"/>
      <c r="DZ52" s="212"/>
      <c r="EA52" s="207"/>
      <c r="EB52" s="207"/>
      <c r="EC52" s="212"/>
      <c r="ED52" s="212"/>
      <c r="EE52" s="212"/>
      <c r="EF52" s="212"/>
      <c r="EG52" s="212"/>
      <c r="EH52" s="212"/>
      <c r="EI52" s="212"/>
      <c r="EJ52" s="212"/>
      <c r="EK52" s="212"/>
      <c r="EL52" s="212"/>
      <c r="EM52" s="212"/>
      <c r="EN52" s="207"/>
      <c r="EO52" s="207"/>
      <c r="EP52" s="212"/>
      <c r="EQ52" s="212"/>
      <c r="ER52" s="212"/>
      <c r="ES52" s="212"/>
      <c r="ET52" s="212"/>
      <c r="EU52" s="212"/>
      <c r="EV52" s="212"/>
      <c r="EW52" s="212"/>
      <c r="EX52" s="212"/>
      <c r="EY52" s="212"/>
      <c r="EZ52" s="212"/>
      <c r="FA52" s="207"/>
      <c r="FB52" s="207"/>
      <c r="FC52" s="212"/>
      <c r="FD52" s="212"/>
      <c r="FE52" s="212"/>
      <c r="FF52" s="212"/>
      <c r="FG52" s="212"/>
      <c r="FH52" s="212"/>
      <c r="FI52" s="212"/>
      <c r="FJ52" s="212"/>
      <c r="FK52" s="212"/>
      <c r="FL52" s="212"/>
      <c r="FM52" s="212"/>
      <c r="FN52" s="207"/>
      <c r="FO52" s="207"/>
      <c r="FP52" s="212"/>
      <c r="FQ52" s="212"/>
      <c r="FR52" s="212"/>
      <c r="FS52" s="212"/>
      <c r="FT52" s="212"/>
      <c r="FU52" s="212"/>
      <c r="FV52" s="212"/>
      <c r="FW52" s="212"/>
      <c r="FX52" s="212"/>
      <c r="FY52" s="212"/>
      <c r="FZ52" s="212"/>
      <c r="GA52" s="207"/>
      <c r="GB52" s="207"/>
      <c r="GC52" s="212"/>
      <c r="GD52" s="212"/>
      <c r="GE52" s="212"/>
      <c r="GF52" s="212"/>
      <c r="GG52" s="212"/>
      <c r="GH52" s="212"/>
      <c r="GI52" s="212"/>
      <c r="GJ52" s="212"/>
      <c r="GK52" s="212"/>
      <c r="GL52" s="212"/>
      <c r="GM52" s="212"/>
      <c r="GN52" s="207"/>
      <c r="GO52" s="207"/>
      <c r="GP52" s="212"/>
      <c r="GQ52" s="212"/>
      <c r="GR52" s="212"/>
      <c r="GS52" s="212"/>
      <c r="GT52" s="212"/>
      <c r="GU52" s="212"/>
      <c r="GV52" s="212"/>
      <c r="GW52" s="212"/>
      <c r="GX52" s="212"/>
      <c r="GY52" s="212"/>
      <c r="GZ52" s="212"/>
      <c r="HA52" s="207"/>
      <c r="HB52" s="207"/>
      <c r="HC52" s="212"/>
      <c r="HD52" s="212"/>
      <c r="HE52" s="212"/>
      <c r="HF52" s="212"/>
      <c r="HG52" s="212"/>
      <c r="HH52" s="212"/>
      <c r="HI52" s="212"/>
      <c r="HJ52" s="212"/>
      <c r="HK52" s="212"/>
      <c r="HL52" s="212"/>
      <c r="HM52" s="212"/>
      <c r="HN52" s="207"/>
      <c r="HO52" s="207"/>
      <c r="HP52" s="212"/>
      <c r="HQ52" s="212"/>
      <c r="HR52" s="212"/>
      <c r="HS52" s="212"/>
      <c r="HT52" s="212"/>
      <c r="HU52" s="212"/>
      <c r="HV52" s="212"/>
      <c r="HW52" s="212"/>
      <c r="HX52" s="212"/>
      <c r="HY52" s="212"/>
      <c r="HZ52" s="212"/>
      <c r="IA52" s="207"/>
      <c r="IB52" s="207"/>
      <c r="IC52" s="212"/>
      <c r="ID52" s="212"/>
      <c r="IE52" s="212"/>
      <c r="IF52" s="212"/>
      <c r="IG52" s="212"/>
      <c r="IH52" s="212"/>
      <c r="II52" s="212"/>
      <c r="IJ52" s="212"/>
      <c r="IK52" s="212"/>
      <c r="IL52" s="212"/>
      <c r="IM52" s="212"/>
      <c r="IN52" s="207"/>
      <c r="IO52" s="207"/>
      <c r="IP52" s="212"/>
      <c r="IQ52" s="212"/>
      <c r="IR52" s="212"/>
      <c r="IS52" s="212"/>
      <c r="IT52" s="212"/>
      <c r="IU52" s="212"/>
      <c r="IV52" s="212"/>
    </row>
    <row r="53" spans="1:256" x14ac:dyDescent="0.2">
      <c r="A53" s="218"/>
      <c r="B53" s="219"/>
      <c r="C53" s="294"/>
      <c r="D53" s="294"/>
      <c r="E53" s="294"/>
      <c r="F53" s="294"/>
      <c r="G53" s="294"/>
      <c r="H53" s="294"/>
      <c r="I53" s="294"/>
      <c r="J53" s="294"/>
      <c r="K53" s="294"/>
      <c r="L53" s="294"/>
      <c r="M53" s="295"/>
      <c r="N53" s="211"/>
      <c r="O53" s="211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07"/>
      <c r="AB53" s="207"/>
      <c r="AC53" s="212"/>
      <c r="AD53" s="212"/>
      <c r="AE53" s="212"/>
      <c r="AF53" s="212"/>
      <c r="AG53" s="212"/>
      <c r="AH53" s="212"/>
      <c r="AI53" s="212"/>
      <c r="AJ53" s="212"/>
      <c r="AK53" s="212"/>
      <c r="AL53" s="212"/>
      <c r="AM53" s="212"/>
      <c r="AN53" s="207"/>
      <c r="AO53" s="207"/>
      <c r="AP53" s="212"/>
      <c r="AQ53" s="212"/>
      <c r="AR53" s="212"/>
      <c r="AS53" s="212"/>
      <c r="AT53" s="212"/>
      <c r="AU53" s="212"/>
      <c r="AV53" s="212"/>
      <c r="AW53" s="212"/>
      <c r="AX53" s="212"/>
      <c r="AY53" s="212"/>
      <c r="AZ53" s="212"/>
      <c r="BA53" s="207"/>
      <c r="BB53" s="207"/>
      <c r="BC53" s="212"/>
      <c r="BD53" s="212"/>
      <c r="BE53" s="212"/>
      <c r="BF53" s="212"/>
      <c r="BG53" s="212"/>
      <c r="BH53" s="212"/>
      <c r="BI53" s="212"/>
      <c r="BJ53" s="212"/>
      <c r="BK53" s="212"/>
      <c r="BL53" s="212"/>
      <c r="BM53" s="212"/>
      <c r="BN53" s="207"/>
      <c r="BO53" s="207"/>
      <c r="BP53" s="212"/>
      <c r="BQ53" s="212"/>
      <c r="BR53" s="212"/>
      <c r="BS53" s="212"/>
      <c r="BT53" s="212"/>
      <c r="BU53" s="212"/>
      <c r="BV53" s="212"/>
      <c r="BW53" s="212"/>
      <c r="BX53" s="212"/>
      <c r="BY53" s="212"/>
      <c r="BZ53" s="212"/>
      <c r="CA53" s="207"/>
      <c r="CB53" s="207"/>
      <c r="CC53" s="212"/>
      <c r="CD53" s="212"/>
      <c r="CE53" s="212"/>
      <c r="CF53" s="212"/>
      <c r="CG53" s="212"/>
      <c r="CH53" s="212"/>
      <c r="CI53" s="212"/>
      <c r="CJ53" s="212"/>
      <c r="CK53" s="212"/>
      <c r="CL53" s="212"/>
      <c r="CM53" s="212"/>
      <c r="CN53" s="207"/>
      <c r="CO53" s="207"/>
      <c r="CP53" s="212"/>
      <c r="CQ53" s="212"/>
      <c r="CR53" s="212"/>
      <c r="CS53" s="212"/>
      <c r="CT53" s="212"/>
      <c r="CU53" s="212"/>
      <c r="CV53" s="212"/>
      <c r="CW53" s="212"/>
      <c r="CX53" s="212"/>
      <c r="CY53" s="212"/>
      <c r="CZ53" s="212"/>
      <c r="DA53" s="207"/>
      <c r="DB53" s="207"/>
      <c r="DC53" s="212"/>
      <c r="DD53" s="212"/>
      <c r="DE53" s="212"/>
      <c r="DF53" s="212"/>
      <c r="DG53" s="212"/>
      <c r="DH53" s="212"/>
      <c r="DI53" s="212"/>
      <c r="DJ53" s="212"/>
      <c r="DK53" s="212"/>
      <c r="DL53" s="212"/>
      <c r="DM53" s="212"/>
      <c r="DN53" s="207"/>
      <c r="DO53" s="207"/>
      <c r="DP53" s="212"/>
      <c r="DQ53" s="212"/>
      <c r="DR53" s="212"/>
      <c r="DS53" s="212"/>
      <c r="DT53" s="212"/>
      <c r="DU53" s="212"/>
      <c r="DV53" s="212"/>
      <c r="DW53" s="212"/>
      <c r="DX53" s="212"/>
      <c r="DY53" s="212"/>
      <c r="DZ53" s="212"/>
      <c r="EA53" s="207"/>
      <c r="EB53" s="207"/>
      <c r="EC53" s="212"/>
      <c r="ED53" s="212"/>
      <c r="EE53" s="212"/>
      <c r="EF53" s="212"/>
      <c r="EG53" s="212"/>
      <c r="EH53" s="212"/>
      <c r="EI53" s="212"/>
      <c r="EJ53" s="212"/>
      <c r="EK53" s="212"/>
      <c r="EL53" s="212"/>
      <c r="EM53" s="212"/>
      <c r="EN53" s="207"/>
      <c r="EO53" s="207"/>
      <c r="EP53" s="212"/>
      <c r="EQ53" s="212"/>
      <c r="ER53" s="212"/>
      <c r="ES53" s="212"/>
      <c r="ET53" s="212"/>
      <c r="EU53" s="212"/>
      <c r="EV53" s="212"/>
      <c r="EW53" s="212"/>
      <c r="EX53" s="212"/>
      <c r="EY53" s="212"/>
      <c r="EZ53" s="212"/>
      <c r="FA53" s="207"/>
      <c r="FB53" s="207"/>
      <c r="FC53" s="212"/>
      <c r="FD53" s="212"/>
      <c r="FE53" s="212"/>
      <c r="FF53" s="212"/>
      <c r="FG53" s="212"/>
      <c r="FH53" s="212"/>
      <c r="FI53" s="212"/>
      <c r="FJ53" s="212"/>
      <c r="FK53" s="212"/>
      <c r="FL53" s="212"/>
      <c r="FM53" s="212"/>
      <c r="FN53" s="207"/>
      <c r="FO53" s="207"/>
      <c r="FP53" s="212"/>
      <c r="FQ53" s="212"/>
      <c r="FR53" s="212"/>
      <c r="FS53" s="212"/>
      <c r="FT53" s="212"/>
      <c r="FU53" s="212"/>
      <c r="FV53" s="212"/>
      <c r="FW53" s="212"/>
      <c r="FX53" s="212"/>
      <c r="FY53" s="212"/>
      <c r="FZ53" s="212"/>
      <c r="GA53" s="207"/>
      <c r="GB53" s="207"/>
      <c r="GC53" s="212"/>
      <c r="GD53" s="212"/>
      <c r="GE53" s="212"/>
      <c r="GF53" s="212"/>
      <c r="GG53" s="212"/>
      <c r="GH53" s="212"/>
      <c r="GI53" s="212"/>
      <c r="GJ53" s="212"/>
      <c r="GK53" s="212"/>
      <c r="GL53" s="212"/>
      <c r="GM53" s="212"/>
      <c r="GN53" s="207"/>
      <c r="GO53" s="207"/>
      <c r="GP53" s="212"/>
      <c r="GQ53" s="212"/>
      <c r="GR53" s="212"/>
      <c r="GS53" s="212"/>
      <c r="GT53" s="212"/>
      <c r="GU53" s="212"/>
      <c r="GV53" s="212"/>
      <c r="GW53" s="212"/>
      <c r="GX53" s="212"/>
      <c r="GY53" s="212"/>
      <c r="GZ53" s="212"/>
      <c r="HA53" s="207"/>
      <c r="HB53" s="207"/>
      <c r="HC53" s="212"/>
      <c r="HD53" s="212"/>
      <c r="HE53" s="212"/>
      <c r="HF53" s="212"/>
      <c r="HG53" s="212"/>
      <c r="HH53" s="212"/>
      <c r="HI53" s="212"/>
      <c r="HJ53" s="212"/>
      <c r="HK53" s="212"/>
      <c r="HL53" s="212"/>
      <c r="HM53" s="212"/>
      <c r="HN53" s="207"/>
      <c r="HO53" s="207"/>
      <c r="HP53" s="212"/>
      <c r="HQ53" s="212"/>
      <c r="HR53" s="212"/>
      <c r="HS53" s="212"/>
      <c r="HT53" s="212"/>
      <c r="HU53" s="212"/>
      <c r="HV53" s="212"/>
      <c r="HW53" s="212"/>
      <c r="HX53" s="212"/>
      <c r="HY53" s="212"/>
      <c r="HZ53" s="212"/>
      <c r="IA53" s="207"/>
      <c r="IB53" s="207"/>
      <c r="IC53" s="212"/>
      <c r="ID53" s="212"/>
      <c r="IE53" s="212"/>
      <c r="IF53" s="212"/>
      <c r="IG53" s="212"/>
      <c r="IH53" s="212"/>
      <c r="II53" s="212"/>
      <c r="IJ53" s="212"/>
      <c r="IK53" s="212"/>
      <c r="IL53" s="212"/>
      <c r="IM53" s="212"/>
      <c r="IN53" s="207"/>
      <c r="IO53" s="207"/>
      <c r="IP53" s="212"/>
      <c r="IQ53" s="212"/>
      <c r="IR53" s="212"/>
      <c r="IS53" s="212"/>
      <c r="IT53" s="212"/>
      <c r="IU53" s="212"/>
      <c r="IV53" s="212"/>
    </row>
    <row r="54" spans="1:256" x14ac:dyDescent="0.2">
      <c r="A54" s="218"/>
      <c r="B54" s="219"/>
      <c r="C54" s="294"/>
      <c r="D54" s="294"/>
      <c r="E54" s="294"/>
      <c r="F54" s="294"/>
      <c r="G54" s="294"/>
      <c r="H54" s="294"/>
      <c r="I54" s="294"/>
      <c r="J54" s="294"/>
      <c r="K54" s="294"/>
      <c r="L54" s="294"/>
      <c r="M54" s="295"/>
      <c r="N54" s="211"/>
      <c r="O54" s="211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07"/>
      <c r="AB54" s="207"/>
      <c r="AC54" s="212"/>
      <c r="AD54" s="212"/>
      <c r="AE54" s="212"/>
      <c r="AF54" s="212"/>
      <c r="AG54" s="212"/>
      <c r="AH54" s="212"/>
      <c r="AI54" s="212"/>
      <c r="AJ54" s="212"/>
      <c r="AK54" s="212"/>
      <c r="AL54" s="212"/>
      <c r="AM54" s="212"/>
      <c r="AN54" s="207"/>
      <c r="AO54" s="207"/>
      <c r="AP54" s="212"/>
      <c r="AQ54" s="212"/>
      <c r="AR54" s="212"/>
      <c r="AS54" s="212"/>
      <c r="AT54" s="212"/>
      <c r="AU54" s="212"/>
      <c r="AV54" s="212"/>
      <c r="AW54" s="212"/>
      <c r="AX54" s="212"/>
      <c r="AY54" s="212"/>
      <c r="AZ54" s="212"/>
      <c r="BA54" s="207"/>
      <c r="BB54" s="207"/>
      <c r="BC54" s="212"/>
      <c r="BD54" s="212"/>
      <c r="BE54" s="212"/>
      <c r="BF54" s="212"/>
      <c r="BG54" s="212"/>
      <c r="BH54" s="212"/>
      <c r="BI54" s="212"/>
      <c r="BJ54" s="212"/>
      <c r="BK54" s="212"/>
      <c r="BL54" s="212"/>
      <c r="BM54" s="212"/>
      <c r="BN54" s="207"/>
      <c r="BO54" s="207"/>
      <c r="BP54" s="212"/>
      <c r="BQ54" s="212"/>
      <c r="BR54" s="212"/>
      <c r="BS54" s="212"/>
      <c r="BT54" s="212"/>
      <c r="BU54" s="212"/>
      <c r="BV54" s="212"/>
      <c r="BW54" s="212"/>
      <c r="BX54" s="212"/>
      <c r="BY54" s="212"/>
      <c r="BZ54" s="212"/>
      <c r="CA54" s="207"/>
      <c r="CB54" s="207"/>
      <c r="CC54" s="212"/>
      <c r="CD54" s="212"/>
      <c r="CE54" s="212"/>
      <c r="CF54" s="212"/>
      <c r="CG54" s="212"/>
      <c r="CH54" s="212"/>
      <c r="CI54" s="212"/>
      <c r="CJ54" s="212"/>
      <c r="CK54" s="212"/>
      <c r="CL54" s="212"/>
      <c r="CM54" s="212"/>
      <c r="CN54" s="207"/>
      <c r="CO54" s="207"/>
      <c r="CP54" s="212"/>
      <c r="CQ54" s="212"/>
      <c r="CR54" s="212"/>
      <c r="CS54" s="212"/>
      <c r="CT54" s="212"/>
      <c r="CU54" s="212"/>
      <c r="CV54" s="212"/>
      <c r="CW54" s="212"/>
      <c r="CX54" s="212"/>
      <c r="CY54" s="212"/>
      <c r="CZ54" s="212"/>
      <c r="DA54" s="207"/>
      <c r="DB54" s="207"/>
      <c r="DC54" s="212"/>
      <c r="DD54" s="212"/>
      <c r="DE54" s="212"/>
      <c r="DF54" s="212"/>
      <c r="DG54" s="212"/>
      <c r="DH54" s="212"/>
      <c r="DI54" s="212"/>
      <c r="DJ54" s="212"/>
      <c r="DK54" s="212"/>
      <c r="DL54" s="212"/>
      <c r="DM54" s="212"/>
      <c r="DN54" s="207"/>
      <c r="DO54" s="207"/>
      <c r="DP54" s="212"/>
      <c r="DQ54" s="212"/>
      <c r="DR54" s="212"/>
      <c r="DS54" s="212"/>
      <c r="DT54" s="212"/>
      <c r="DU54" s="212"/>
      <c r="DV54" s="212"/>
      <c r="DW54" s="212"/>
      <c r="DX54" s="212"/>
      <c r="DY54" s="212"/>
      <c r="DZ54" s="212"/>
      <c r="EA54" s="207"/>
      <c r="EB54" s="207"/>
      <c r="EC54" s="212"/>
      <c r="ED54" s="212"/>
      <c r="EE54" s="212"/>
      <c r="EF54" s="212"/>
      <c r="EG54" s="212"/>
      <c r="EH54" s="212"/>
      <c r="EI54" s="212"/>
      <c r="EJ54" s="212"/>
      <c r="EK54" s="212"/>
      <c r="EL54" s="212"/>
      <c r="EM54" s="212"/>
      <c r="EN54" s="207"/>
      <c r="EO54" s="207"/>
      <c r="EP54" s="212"/>
      <c r="EQ54" s="212"/>
      <c r="ER54" s="212"/>
      <c r="ES54" s="212"/>
      <c r="ET54" s="212"/>
      <c r="EU54" s="212"/>
      <c r="EV54" s="212"/>
      <c r="EW54" s="212"/>
      <c r="EX54" s="212"/>
      <c r="EY54" s="212"/>
      <c r="EZ54" s="212"/>
      <c r="FA54" s="207"/>
      <c r="FB54" s="207"/>
      <c r="FC54" s="212"/>
      <c r="FD54" s="212"/>
      <c r="FE54" s="212"/>
      <c r="FF54" s="212"/>
      <c r="FG54" s="212"/>
      <c r="FH54" s="212"/>
      <c r="FI54" s="212"/>
      <c r="FJ54" s="212"/>
      <c r="FK54" s="212"/>
      <c r="FL54" s="212"/>
      <c r="FM54" s="212"/>
      <c r="FN54" s="207"/>
      <c r="FO54" s="207"/>
      <c r="FP54" s="212"/>
      <c r="FQ54" s="212"/>
      <c r="FR54" s="212"/>
      <c r="FS54" s="212"/>
      <c r="FT54" s="212"/>
      <c r="FU54" s="212"/>
      <c r="FV54" s="212"/>
      <c r="FW54" s="212"/>
      <c r="FX54" s="212"/>
      <c r="FY54" s="212"/>
      <c r="FZ54" s="212"/>
      <c r="GA54" s="207"/>
      <c r="GB54" s="207"/>
      <c r="GC54" s="212"/>
      <c r="GD54" s="212"/>
      <c r="GE54" s="212"/>
      <c r="GF54" s="212"/>
      <c r="GG54" s="212"/>
      <c r="GH54" s="212"/>
      <c r="GI54" s="212"/>
      <c r="GJ54" s="212"/>
      <c r="GK54" s="212"/>
      <c r="GL54" s="212"/>
      <c r="GM54" s="212"/>
      <c r="GN54" s="207"/>
      <c r="GO54" s="207"/>
      <c r="GP54" s="212"/>
      <c r="GQ54" s="212"/>
      <c r="GR54" s="212"/>
      <c r="GS54" s="212"/>
      <c r="GT54" s="212"/>
      <c r="GU54" s="212"/>
      <c r="GV54" s="212"/>
      <c r="GW54" s="212"/>
      <c r="GX54" s="212"/>
      <c r="GY54" s="212"/>
      <c r="GZ54" s="212"/>
      <c r="HA54" s="207"/>
      <c r="HB54" s="207"/>
      <c r="HC54" s="212"/>
      <c r="HD54" s="212"/>
      <c r="HE54" s="212"/>
      <c r="HF54" s="212"/>
      <c r="HG54" s="212"/>
      <c r="HH54" s="212"/>
      <c r="HI54" s="212"/>
      <c r="HJ54" s="212"/>
      <c r="HK54" s="212"/>
      <c r="HL54" s="212"/>
      <c r="HM54" s="212"/>
      <c r="HN54" s="207"/>
      <c r="HO54" s="207"/>
      <c r="HP54" s="212"/>
      <c r="HQ54" s="212"/>
      <c r="HR54" s="212"/>
      <c r="HS54" s="212"/>
      <c r="HT54" s="212"/>
      <c r="HU54" s="212"/>
      <c r="HV54" s="212"/>
      <c r="HW54" s="212"/>
      <c r="HX54" s="212"/>
      <c r="HY54" s="212"/>
      <c r="HZ54" s="212"/>
      <c r="IA54" s="207"/>
      <c r="IB54" s="207"/>
      <c r="IC54" s="212"/>
      <c r="ID54" s="212"/>
      <c r="IE54" s="212"/>
      <c r="IF54" s="212"/>
      <c r="IG54" s="212"/>
      <c r="IH54" s="212"/>
      <c r="II54" s="212"/>
      <c r="IJ54" s="212"/>
      <c r="IK54" s="212"/>
      <c r="IL54" s="212"/>
      <c r="IM54" s="212"/>
      <c r="IN54" s="207"/>
      <c r="IO54" s="207"/>
      <c r="IP54" s="212"/>
      <c r="IQ54" s="212"/>
      <c r="IR54" s="212"/>
      <c r="IS54" s="212"/>
      <c r="IT54" s="212"/>
      <c r="IU54" s="212"/>
      <c r="IV54" s="212"/>
    </row>
    <row r="55" spans="1:256" x14ac:dyDescent="0.2">
      <c r="A55" s="218"/>
      <c r="B55" s="219"/>
      <c r="C55" s="294"/>
      <c r="D55" s="294"/>
      <c r="E55" s="294"/>
      <c r="F55" s="294"/>
      <c r="G55" s="294"/>
      <c r="H55" s="294"/>
      <c r="I55" s="294"/>
      <c r="J55" s="294"/>
      <c r="K55" s="294"/>
      <c r="L55" s="294"/>
      <c r="M55" s="29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5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</row>
    <row r="60" spans="1:256" x14ac:dyDescent="0.2">
      <c r="A60" s="218"/>
      <c r="B60" s="219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5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</row>
    <row r="61" spans="1:256" x14ac:dyDescent="0.2">
      <c r="A61" s="218"/>
      <c r="B61" s="219"/>
      <c r="C61" s="294"/>
      <c r="D61" s="294"/>
      <c r="E61" s="294"/>
      <c r="F61" s="294"/>
      <c r="G61" s="294"/>
      <c r="H61" s="294"/>
      <c r="I61" s="294"/>
      <c r="J61" s="294"/>
      <c r="K61" s="294"/>
      <c r="L61" s="294"/>
      <c r="M61" s="295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</row>
    <row r="62" spans="1:256" x14ac:dyDescent="0.2">
      <c r="A62" s="218"/>
      <c r="B62" s="219"/>
      <c r="C62" s="294"/>
      <c r="D62" s="294"/>
      <c r="E62" s="294"/>
      <c r="F62" s="294"/>
      <c r="G62" s="294"/>
      <c r="H62" s="294"/>
      <c r="I62" s="294"/>
      <c r="J62" s="294"/>
      <c r="K62" s="294"/>
      <c r="L62" s="294"/>
      <c r="M62" s="295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</row>
    <row r="63" spans="1:256" x14ac:dyDescent="0.2">
      <c r="A63" s="218"/>
      <c r="B63" s="219"/>
      <c r="C63" s="294"/>
      <c r="D63" s="294"/>
      <c r="E63" s="294"/>
      <c r="F63" s="294"/>
      <c r="G63" s="294"/>
      <c r="H63" s="294"/>
      <c r="I63" s="294"/>
      <c r="J63" s="294"/>
      <c r="K63" s="294"/>
      <c r="L63" s="294"/>
      <c r="M63" s="295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</row>
    <row r="64" spans="1:256" x14ac:dyDescent="0.2">
      <c r="A64" s="218"/>
      <c r="B64" s="219"/>
      <c r="C64" s="294"/>
      <c r="D64" s="294"/>
      <c r="E64" s="294"/>
      <c r="F64" s="294"/>
      <c r="G64" s="294"/>
      <c r="H64" s="294"/>
      <c r="I64" s="294"/>
      <c r="J64" s="294"/>
      <c r="K64" s="294"/>
      <c r="L64" s="294"/>
      <c r="M64" s="295"/>
    </row>
    <row r="65" spans="1:13" x14ac:dyDescent="0.2">
      <c r="A65" s="218"/>
      <c r="B65" s="219"/>
      <c r="C65" s="294"/>
      <c r="D65" s="294"/>
      <c r="E65" s="294"/>
      <c r="F65" s="294"/>
      <c r="G65" s="294"/>
      <c r="H65" s="294"/>
      <c r="I65" s="294"/>
      <c r="J65" s="294"/>
      <c r="K65" s="294"/>
      <c r="L65" s="294"/>
      <c r="M65" s="295"/>
    </row>
    <row r="66" spans="1:13" x14ac:dyDescent="0.2">
      <c r="A66" s="218"/>
      <c r="B66" s="219"/>
      <c r="C66" s="294"/>
      <c r="D66" s="294"/>
      <c r="E66" s="294"/>
      <c r="F66" s="294"/>
      <c r="G66" s="294"/>
      <c r="H66" s="294"/>
      <c r="I66" s="294"/>
      <c r="J66" s="294"/>
      <c r="K66" s="294"/>
      <c r="L66" s="294"/>
      <c r="M66" s="295"/>
    </row>
    <row r="67" spans="1:13" x14ac:dyDescent="0.2">
      <c r="A67" s="218"/>
      <c r="B67" s="219"/>
      <c r="C67" s="294"/>
      <c r="D67" s="294"/>
      <c r="E67" s="294"/>
      <c r="F67" s="294"/>
      <c r="G67" s="294"/>
      <c r="H67" s="294"/>
      <c r="I67" s="294"/>
      <c r="J67" s="294"/>
      <c r="K67" s="294"/>
      <c r="L67" s="294"/>
      <c r="M67" s="295"/>
    </row>
    <row r="68" spans="1:13" x14ac:dyDescent="0.2">
      <c r="A68" s="218"/>
      <c r="B68" s="219"/>
      <c r="C68" s="294"/>
      <c r="D68" s="294"/>
      <c r="E68" s="294"/>
      <c r="F68" s="294"/>
      <c r="G68" s="294"/>
      <c r="H68" s="294"/>
      <c r="I68" s="294"/>
      <c r="J68" s="294"/>
      <c r="K68" s="294"/>
      <c r="L68" s="294"/>
      <c r="M68" s="295"/>
    </row>
    <row r="69" spans="1:13" x14ac:dyDescent="0.2">
      <c r="A69" s="218"/>
      <c r="B69" s="219"/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5"/>
    </row>
    <row r="70" spans="1:13" x14ac:dyDescent="0.2">
      <c r="A70" s="218"/>
      <c r="B70" s="219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x14ac:dyDescent="0.2">
      <c r="A71" s="218"/>
      <c r="B71" s="219"/>
      <c r="C71" s="294"/>
      <c r="D71" s="294"/>
      <c r="E71" s="294"/>
      <c r="F71" s="294"/>
      <c r="G71" s="294"/>
      <c r="H71" s="294"/>
      <c r="I71" s="294"/>
      <c r="J71" s="294"/>
      <c r="K71" s="294"/>
      <c r="L71" s="294"/>
      <c r="M71" s="295"/>
    </row>
    <row r="72" spans="1:13" x14ac:dyDescent="0.2">
      <c r="A72" s="218"/>
      <c r="B72" s="219"/>
      <c r="C72" s="294"/>
      <c r="D72" s="294"/>
      <c r="E72" s="294"/>
      <c r="F72" s="294"/>
      <c r="G72" s="294"/>
      <c r="H72" s="294"/>
      <c r="I72" s="294"/>
      <c r="J72" s="294"/>
      <c r="K72" s="294"/>
      <c r="L72" s="294"/>
      <c r="M72" s="295"/>
    </row>
    <row r="73" spans="1:13" x14ac:dyDescent="0.2">
      <c r="A73" s="218"/>
      <c r="B73" s="219"/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5"/>
    </row>
    <row r="74" spans="1:13" x14ac:dyDescent="0.2">
      <c r="A74" s="218"/>
      <c r="B74" s="219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5"/>
    </row>
    <row r="75" spans="1:13" ht="12" thickBot="1" x14ac:dyDescent="0.25">
      <c r="A75" s="220"/>
      <c r="B75" s="221"/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10"/>
    </row>
    <row r="76" spans="1:13" ht="12" thickTop="1" x14ac:dyDescent="0.2">
      <c r="A76" s="208"/>
      <c r="B76" s="208"/>
      <c r="C76" s="209"/>
      <c r="D76" s="209"/>
      <c r="E76" s="209"/>
      <c r="F76" s="209"/>
      <c r="G76" s="209"/>
      <c r="H76" s="209"/>
      <c r="I76" s="209"/>
      <c r="J76" s="209"/>
      <c r="K76" s="209"/>
      <c r="L76" s="209"/>
    </row>
    <row r="77" spans="1:13" ht="12.75" x14ac:dyDescent="0.2">
      <c r="A77" s="311" t="s">
        <v>848</v>
      </c>
      <c r="B77" s="311"/>
      <c r="C77" s="311"/>
      <c r="D77" s="311"/>
      <c r="E77" s="311"/>
      <c r="F77" s="126"/>
      <c r="G77" s="126"/>
      <c r="H77" s="126"/>
      <c r="I77" s="126"/>
      <c r="J77" s="126"/>
      <c r="K77" s="126"/>
      <c r="L77" s="126"/>
      <c r="M77" s="126"/>
    </row>
    <row r="78" spans="1:13" x14ac:dyDescent="0.2">
      <c r="A78" s="210" t="s">
        <v>768</v>
      </c>
      <c r="B78" s="210" t="s">
        <v>769</v>
      </c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</row>
    <row r="79" spans="1:13" x14ac:dyDescent="0.2">
      <c r="A79" s="211"/>
      <c r="B79" s="211"/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</row>
    <row r="80" spans="1:13" x14ac:dyDescent="0.2">
      <c r="A80" s="211"/>
      <c r="B80" s="211"/>
      <c r="C80" s="308"/>
      <c r="D80" s="308"/>
      <c r="E80" s="308"/>
      <c r="F80" s="308"/>
      <c r="G80" s="308"/>
      <c r="H80" s="308"/>
      <c r="I80" s="308"/>
      <c r="J80" s="308"/>
      <c r="K80" s="308"/>
      <c r="L80" s="308"/>
      <c r="M80" s="308"/>
    </row>
    <row r="81" spans="1:13" x14ac:dyDescent="0.2">
      <c r="A81" s="211"/>
      <c r="B81" s="211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M81" s="308"/>
    </row>
    <row r="82" spans="1:13" x14ac:dyDescent="0.2">
      <c r="A82" s="211"/>
      <c r="B82" s="211"/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</row>
    <row r="83" spans="1:13" x14ac:dyDescent="0.2">
      <c r="A83" s="211"/>
      <c r="B83" s="211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</row>
    <row r="84" spans="1:13" x14ac:dyDescent="0.2">
      <c r="A84" s="211"/>
      <c r="B84" s="211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</row>
    <row r="85" spans="1:13" x14ac:dyDescent="0.2">
      <c r="A85" s="211"/>
      <c r="B85" s="211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</row>
    <row r="86" spans="1:13" x14ac:dyDescent="0.2">
      <c r="A86" s="211"/>
      <c r="B86" s="211"/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</row>
    <row r="87" spans="1:13" x14ac:dyDescent="0.2">
      <c r="A87" s="211"/>
      <c r="B87" s="211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</row>
    <row r="88" spans="1:13" x14ac:dyDescent="0.2">
      <c r="A88" s="211"/>
      <c r="B88" s="211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</row>
    <row r="89" spans="1:13" x14ac:dyDescent="0.2">
      <c r="A89" s="211"/>
      <c r="B89" s="211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</row>
    <row r="90" spans="1:13" x14ac:dyDescent="0.2">
      <c r="A90" s="211"/>
      <c r="B90" s="211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</row>
    <row r="91" spans="1:13" x14ac:dyDescent="0.2">
      <c r="A91" s="211"/>
      <c r="B91" s="211"/>
      <c r="C91" s="308"/>
      <c r="D91" s="308"/>
      <c r="E91" s="308"/>
      <c r="F91" s="308"/>
      <c r="G91" s="308"/>
      <c r="H91" s="308"/>
      <c r="I91" s="308"/>
      <c r="J91" s="308"/>
      <c r="K91" s="308"/>
      <c r="L91" s="308"/>
      <c r="M91" s="308"/>
    </row>
    <row r="92" spans="1:13" x14ac:dyDescent="0.2">
      <c r="A92" s="211"/>
      <c r="B92" s="211"/>
      <c r="C92" s="308"/>
      <c r="D92" s="308"/>
      <c r="E92" s="308"/>
      <c r="F92" s="308"/>
      <c r="G92" s="308"/>
      <c r="H92" s="308"/>
      <c r="I92" s="308"/>
      <c r="J92" s="308"/>
      <c r="K92" s="308"/>
      <c r="L92" s="308"/>
      <c r="M92" s="308"/>
    </row>
    <row r="93" spans="1:13" x14ac:dyDescent="0.2">
      <c r="A93" s="211"/>
      <c r="B93" s="211"/>
      <c r="C93" s="308"/>
      <c r="D93" s="308"/>
      <c r="E93" s="308"/>
      <c r="F93" s="308"/>
      <c r="G93" s="308"/>
      <c r="H93" s="308"/>
      <c r="I93" s="308"/>
      <c r="J93" s="308"/>
      <c r="K93" s="308"/>
      <c r="L93" s="308"/>
      <c r="M93" s="308"/>
    </row>
    <row r="94" spans="1:13" x14ac:dyDescent="0.2">
      <c r="A94" s="211"/>
      <c r="B94" s="211"/>
      <c r="C94" s="308"/>
      <c r="D94" s="308"/>
      <c r="E94" s="308"/>
      <c r="F94" s="308"/>
      <c r="G94" s="308"/>
      <c r="H94" s="308"/>
      <c r="I94" s="308"/>
      <c r="J94" s="308"/>
      <c r="K94" s="308"/>
      <c r="L94" s="308"/>
      <c r="M94" s="308"/>
    </row>
    <row r="95" spans="1:13" x14ac:dyDescent="0.2">
      <c r="A95" s="211"/>
      <c r="B95" s="211"/>
      <c r="C95" s="308"/>
      <c r="D95" s="308"/>
      <c r="E95" s="308"/>
      <c r="F95" s="308"/>
      <c r="G95" s="308"/>
      <c r="H95" s="308"/>
      <c r="I95" s="308"/>
      <c r="J95" s="308"/>
      <c r="K95" s="308"/>
      <c r="L95" s="308"/>
      <c r="M95" s="308"/>
    </row>
  </sheetData>
  <mergeCells count="207">
    <mergeCell ref="C81:M81"/>
    <mergeCell ref="C71:M71"/>
    <mergeCell ref="C75:M75"/>
    <mergeCell ref="A77:E77"/>
    <mergeCell ref="C78:M78"/>
    <mergeCell ref="C79:M79"/>
    <mergeCell ref="C66:M66"/>
    <mergeCell ref="C58:M58"/>
    <mergeCell ref="C59:M59"/>
    <mergeCell ref="C60:M60"/>
    <mergeCell ref="C80:M80"/>
    <mergeCell ref="C72:M72"/>
    <mergeCell ref="C73:M73"/>
    <mergeCell ref="C74:M74"/>
    <mergeCell ref="C92:M92"/>
    <mergeCell ref="C93:M93"/>
    <mergeCell ref="C94:M94"/>
    <mergeCell ref="C95:M95"/>
    <mergeCell ref="C88:M88"/>
    <mergeCell ref="C89:M89"/>
    <mergeCell ref="C90:M90"/>
    <mergeCell ref="C91:M91"/>
    <mergeCell ref="C82:M82"/>
    <mergeCell ref="C83:M83"/>
    <mergeCell ref="C84:M84"/>
    <mergeCell ref="C85:M85"/>
    <mergeCell ref="C86:M86"/>
    <mergeCell ref="C87:M87"/>
    <mergeCell ref="C57:M57"/>
    <mergeCell ref="C55:M55"/>
    <mergeCell ref="C52:M52"/>
    <mergeCell ref="C53:M53"/>
    <mergeCell ref="C54:M54"/>
    <mergeCell ref="C56:M56"/>
    <mergeCell ref="C68:M68"/>
    <mergeCell ref="C69:M69"/>
    <mergeCell ref="C70:M70"/>
    <mergeCell ref="C61:M61"/>
    <mergeCell ref="C62:M62"/>
    <mergeCell ref="C64:M64"/>
    <mergeCell ref="C65:M65"/>
    <mergeCell ref="C63:M63"/>
    <mergeCell ref="C67:M67"/>
    <mergeCell ref="C39:M39"/>
    <mergeCell ref="C40:M40"/>
    <mergeCell ref="C41:M41"/>
    <mergeCell ref="C43:M43"/>
    <mergeCell ref="DP34:DZ34"/>
    <mergeCell ref="CC35:CM35"/>
    <mergeCell ref="BC35:BM35"/>
    <mergeCell ref="BP35:BZ35"/>
    <mergeCell ref="DC35:DM35"/>
    <mergeCell ref="DP35:DZ35"/>
    <mergeCell ref="CC37:CM37"/>
    <mergeCell ref="DP37:DZ37"/>
    <mergeCell ref="P43:Z43"/>
    <mergeCell ref="AC43:AM43"/>
    <mergeCell ref="AP43:AZ43"/>
    <mergeCell ref="CP43:CZ43"/>
    <mergeCell ref="BC43:BM43"/>
    <mergeCell ref="DC34:DM34"/>
    <mergeCell ref="AP34:AZ34"/>
    <mergeCell ref="C37:M37"/>
    <mergeCell ref="C35:M35"/>
    <mergeCell ref="C36:M36"/>
    <mergeCell ref="P36:Z36"/>
    <mergeCell ref="AC36:AM36"/>
    <mergeCell ref="P37:Z37"/>
    <mergeCell ref="DC37:DM37"/>
    <mergeCell ref="C34:M34"/>
    <mergeCell ref="A1:I1"/>
    <mergeCell ref="C3:M3"/>
    <mergeCell ref="C4:M4"/>
    <mergeCell ref="F2:I2"/>
    <mergeCell ref="P34:Z34"/>
    <mergeCell ref="AC34:AM34"/>
    <mergeCell ref="BC34:BM34"/>
    <mergeCell ref="BP34:BZ34"/>
    <mergeCell ref="CC34:CM34"/>
    <mergeCell ref="A2:E2"/>
    <mergeCell ref="C5:M5"/>
    <mergeCell ref="C6:M6"/>
    <mergeCell ref="C7:M7"/>
    <mergeCell ref="C8:M8"/>
    <mergeCell ref="C16:M16"/>
    <mergeCell ref="C13:M13"/>
    <mergeCell ref="C18:M18"/>
    <mergeCell ref="C17:M17"/>
    <mergeCell ref="HP34:HZ34"/>
    <mergeCell ref="IC34:IM34"/>
    <mergeCell ref="IP34:IV34"/>
    <mergeCell ref="C47:M47"/>
    <mergeCell ref="P35:Z35"/>
    <mergeCell ref="AC35:AM35"/>
    <mergeCell ref="AP35:AZ35"/>
    <mergeCell ref="C46:M46"/>
    <mergeCell ref="C38:M38"/>
    <mergeCell ref="C42:M42"/>
    <mergeCell ref="GC35:GM35"/>
    <mergeCell ref="GP35:GZ35"/>
    <mergeCell ref="FP34:FZ34"/>
    <mergeCell ref="GC34:GM34"/>
    <mergeCell ref="GP34:GZ34"/>
    <mergeCell ref="HC34:HM34"/>
    <mergeCell ref="IC36:IM36"/>
    <mergeCell ref="IP36:IV36"/>
    <mergeCell ref="CP37:CZ37"/>
    <mergeCell ref="CP35:CZ35"/>
    <mergeCell ref="EC34:EM34"/>
    <mergeCell ref="EP34:EZ34"/>
    <mergeCell ref="FC34:FM34"/>
    <mergeCell ref="CP34:CZ34"/>
    <mergeCell ref="IC35:IM35"/>
    <mergeCell ref="IP35:IV35"/>
    <mergeCell ref="AP45:AZ45"/>
    <mergeCell ref="BC36:BM36"/>
    <mergeCell ref="BC37:BM37"/>
    <mergeCell ref="BC44:BM44"/>
    <mergeCell ref="BP36:BZ36"/>
    <mergeCell ref="CC36:CM36"/>
    <mergeCell ref="CP36:CZ36"/>
    <mergeCell ref="FP37:FZ37"/>
    <mergeCell ref="GC37:GM37"/>
    <mergeCell ref="DC43:DM43"/>
    <mergeCell ref="DP43:DZ43"/>
    <mergeCell ref="EC43:EM43"/>
    <mergeCell ref="HC35:HM35"/>
    <mergeCell ref="DC36:DM36"/>
    <mergeCell ref="DP36:DZ36"/>
    <mergeCell ref="EC36:EM36"/>
    <mergeCell ref="EP36:EZ36"/>
    <mergeCell ref="GP37:GZ37"/>
    <mergeCell ref="BP43:BZ43"/>
    <mergeCell ref="CC43:CM43"/>
    <mergeCell ref="EC35:EM35"/>
    <mergeCell ref="EP35:EZ35"/>
    <mergeCell ref="EC37:EM37"/>
    <mergeCell ref="EP37:EZ37"/>
    <mergeCell ref="FC37:FM37"/>
    <mergeCell ref="AC37:AM37"/>
    <mergeCell ref="AP37:AZ37"/>
    <mergeCell ref="HP36:HZ36"/>
    <mergeCell ref="HP35:HZ35"/>
    <mergeCell ref="FC35:FM35"/>
    <mergeCell ref="FP35:FZ35"/>
    <mergeCell ref="FC36:FM36"/>
    <mergeCell ref="FP36:FZ36"/>
    <mergeCell ref="GC36:GM36"/>
    <mergeCell ref="GP36:GZ36"/>
    <mergeCell ref="HC36:HM36"/>
    <mergeCell ref="BP37:BZ37"/>
    <mergeCell ref="HP37:HZ37"/>
    <mergeCell ref="AP36:AZ36"/>
    <mergeCell ref="IC37:IM37"/>
    <mergeCell ref="IP37:IV37"/>
    <mergeCell ref="EP43:EZ43"/>
    <mergeCell ref="FC43:FM43"/>
    <mergeCell ref="FP43:FZ43"/>
    <mergeCell ref="GC43:GM43"/>
    <mergeCell ref="GP43:GZ43"/>
    <mergeCell ref="HC43:HM43"/>
    <mergeCell ref="HC37:HM37"/>
    <mergeCell ref="HP43:HZ43"/>
    <mergeCell ref="IC43:IM43"/>
    <mergeCell ref="IP43:IV43"/>
    <mergeCell ref="IP44:IV44"/>
    <mergeCell ref="EP44:EZ44"/>
    <mergeCell ref="FC44:FM44"/>
    <mergeCell ref="FP44:FZ44"/>
    <mergeCell ref="GP44:GZ44"/>
    <mergeCell ref="P45:Z45"/>
    <mergeCell ref="AC45:AM45"/>
    <mergeCell ref="IP45:IV45"/>
    <mergeCell ref="C50:M50"/>
    <mergeCell ref="HP44:HZ44"/>
    <mergeCell ref="IC44:IM44"/>
    <mergeCell ref="BP44:BZ44"/>
    <mergeCell ref="CC44:CM44"/>
    <mergeCell ref="CP44:CZ44"/>
    <mergeCell ref="HC44:HM44"/>
    <mergeCell ref="DC44:DM44"/>
    <mergeCell ref="DP44:DZ44"/>
    <mergeCell ref="EC44:EM44"/>
    <mergeCell ref="GC44:GM44"/>
    <mergeCell ref="C44:M44"/>
    <mergeCell ref="C45:M45"/>
    <mergeCell ref="P44:Z44"/>
    <mergeCell ref="AC44:AM44"/>
    <mergeCell ref="AP44:AZ44"/>
    <mergeCell ref="C51:M51"/>
    <mergeCell ref="GC45:GM45"/>
    <mergeCell ref="GP45:GZ45"/>
    <mergeCell ref="HC45:HM45"/>
    <mergeCell ref="HP45:HZ45"/>
    <mergeCell ref="EC45:EM45"/>
    <mergeCell ref="C49:M49"/>
    <mergeCell ref="DP45:DZ45"/>
    <mergeCell ref="IC45:IM45"/>
    <mergeCell ref="C48:M48"/>
    <mergeCell ref="BC45:BM45"/>
    <mergeCell ref="BP45:BZ45"/>
    <mergeCell ref="FC45:FM45"/>
    <mergeCell ref="FP45:FZ45"/>
    <mergeCell ref="CC45:CM45"/>
    <mergeCell ref="CP45:CZ45"/>
    <mergeCell ref="DC45:DM45"/>
    <mergeCell ref="EP45:EZ45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2016-08-22T11:53:12Z</cp:lastPrinted>
  <dcterms:created xsi:type="dcterms:W3CDTF">1997-12-04T19:04:30Z</dcterms:created>
  <dcterms:modified xsi:type="dcterms:W3CDTF">2016-12-01T18:46:45Z</dcterms:modified>
</cp:coreProperties>
</file>