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47" i="1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124" i="2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6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G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E120" i="2"/>
  <c r="C121" i="2"/>
  <c r="E121" i="2"/>
  <c r="C122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164" i="2"/>
  <c r="C18" i="2"/>
  <c r="C26" i="10"/>
  <c r="L328" i="1"/>
  <c r="L351" i="1"/>
  <c r="L290" i="1"/>
  <c r="A31" i="12"/>
  <c r="A40" i="12"/>
  <c r="D12" i="13"/>
  <c r="C12" i="13" s="1"/>
  <c r="D62" i="2"/>
  <c r="D63" i="2" s="1"/>
  <c r="D18" i="13"/>
  <c r="C18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J476" i="1"/>
  <c r="H626" i="1" s="1"/>
  <c r="H476" i="1"/>
  <c r="H624" i="1" s="1"/>
  <c r="J624" i="1" s="1"/>
  <c r="F476" i="1"/>
  <c r="H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45" i="1"/>
  <c r="J552" i="1"/>
  <c r="H552" i="1"/>
  <c r="C29" i="10"/>
  <c r="I661" i="1"/>
  <c r="H140" i="1"/>
  <c r="L401" i="1"/>
  <c r="C139" i="2" s="1"/>
  <c r="L393" i="1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C22" i="13"/>
  <c r="C138" i="2"/>
  <c r="C16" i="13"/>
  <c r="H33" i="13"/>
  <c r="J644" i="1" l="1"/>
  <c r="A13" i="12"/>
  <c r="L614" i="1"/>
  <c r="K598" i="1"/>
  <c r="G647" i="1" s="1"/>
  <c r="C17" i="10"/>
  <c r="C10" i="10"/>
  <c r="H52" i="1"/>
  <c r="H619" i="1" s="1"/>
  <c r="H257" i="1"/>
  <c r="H271" i="1" s="1"/>
  <c r="D15" i="13"/>
  <c r="C15" i="13" s="1"/>
  <c r="H647" i="1"/>
  <c r="J647" i="1" s="1"/>
  <c r="F662" i="1"/>
  <c r="I662" i="1" s="1"/>
  <c r="L211" i="1"/>
  <c r="L257" i="1" s="1"/>
  <c r="L271" i="1" s="1"/>
  <c r="G632" i="1" s="1"/>
  <c r="J632" i="1" s="1"/>
  <c r="J622" i="1"/>
  <c r="J649" i="1"/>
  <c r="K552" i="1"/>
  <c r="H660" i="1"/>
  <c r="H664" i="1" s="1"/>
  <c r="H672" i="1" s="1"/>
  <c r="C6" i="10" s="1"/>
  <c r="E33" i="13"/>
  <c r="D35" i="13" s="1"/>
  <c r="C120" i="2"/>
  <c r="C128" i="2" s="1"/>
  <c r="C81" i="2"/>
  <c r="C62" i="2"/>
  <c r="C63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67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H646" i="1" l="1"/>
  <c r="G104" i="2"/>
  <c r="H667" i="1"/>
  <c r="D31" i="13"/>
  <c r="C31" i="13" s="1"/>
  <c r="C145" i="2"/>
  <c r="F660" i="1"/>
  <c r="F664" i="1" s="1"/>
  <c r="F672" i="1" s="1"/>
  <c r="C4" i="10" s="1"/>
  <c r="C104" i="2"/>
  <c r="I660" i="1"/>
  <c r="I664" i="1" s="1"/>
  <c r="I672" i="1" s="1"/>
  <c r="C7" i="10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F667" i="1" l="1"/>
  <c r="I667" i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<sst xmlns="http://schemas.openxmlformats.org/spreadsheetml/2006/main" count="3957" uniqueCount="913">
  <si>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</si>
  <si>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</si>
  <si>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</si>
  <si>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</si>
  <si>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</si>
  <si>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</si>
  <si>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</si>
  <si>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</si>
  <si>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</si>
  <si>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</si>
  <si>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</si>
  <si>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</si>
  <si>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</si>
  <si>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</si>
  <si>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</si>
  <si>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</si>
  <si>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</si>
  <si>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</si>
  <si>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</si>
  <si>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</si>
  <si>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</si>
  <si>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</si>
  <si>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</si>
  <si>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</si>
  <si>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</si>
  <si>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</si>
  <si>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</si>
  <si>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</si>
  <si>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</si>
  <si>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</si>
  <si>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</si>
  <si>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</si>
  <si>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</si>
  <si>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</si>
  <si>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</si>
  <si>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</si>
  <si>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</si>
  <si>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</si>
  <si>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</si>
  <si>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</si>
  <si>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</si>
  <si>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</si>
  <si>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</si>
  <si>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</si>
  <si>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</si>
  <si>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</si>
  <si>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</si>
  <si>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</si>
  <si>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</si>
  <si>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</si>
  <si>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</si>
  <si>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</si>
  <si>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</si>
  <si>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</si>
  <si>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</si>
  <si>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</si>
  <si>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</si>
  <si>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</si>
  <si>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</si>
  <si>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</si>
  <si>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</si>
  <si>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</si>
  <si>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</si>
  <si>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</si>
  <si>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</si>
  <si>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</si>
  <si>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</si>
  <si>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</si>
  <si>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</si>
  <si>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</si>
  <si>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</si>
  <si>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</si>
  <si>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</si>
  <si>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</si>
  <si>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</si>
  <si>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</si>
  <si>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</si>
  <si>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</si>
  <si>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</si>
  <si>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</si>
  <si>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</si>
  <si>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</si>
  <si>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</si>
  <si>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</si>
  <si>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</si>
  <si>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</si>
  <si>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</si>
  <si>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</si>
  <si>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</si>
  <si>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</si>
  <si>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</si>
  <si>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</si>
  <si>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</si>
  <si>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</si>
  <si>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</si>
  <si>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</si>
  <si>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</si>
  <si>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</si>
  <si>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</si>
  <si>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</si>
  <si>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</si>
  <si>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</si>
  <si>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</si>
  <si>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</si>
  <si>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</si>
  <si>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</si>
  <si>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</si>
  <si>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</si>
  <si>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</si>
  <si>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</si>
  <si>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</si>
  <si>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</si>
  <si>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</si>
  <si>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</si>
  <si>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</si>
  <si>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</si>
  <si>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</si>
  <si>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</si>
  <si>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</si>
  <si>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</si>
  <si>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</si>
  <si>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</si>
  <si>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</si>
  <si>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</si>
  <si>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</si>
  <si>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</si>
  <si>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</si>
  <si>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</si>
  <si>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</si>
  <si>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</si>
  <si>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</si>
  <si>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</si>
  <si>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</si>
  <si>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</si>
  <si>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</si>
  <si>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</si>
  <si>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</si>
  <si>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</si>
  <si>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</si>
  <si>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</si>
  <si>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</si>
  <si>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</si>
  <si>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</si>
  <si>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</si>
  <si>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</si>
  <si>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</si>
  <si>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</si>
  <si>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</si>
  <si>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</si>
  <si>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</si>
  <si>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</si>
  <si>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</si>
  <si>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</si>
  <si>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</si>
  <si>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</si>
  <si>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</si>
  <si>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</si>
  <si>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</si>
  <si>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</si>
  <si>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</si>
  <si>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</si>
  <si>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</si>
  <si>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</si>
  <si>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</si>
  <si>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</si>
  <si>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</si>
  <si>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</si>
  <si>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</si>
  <si>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</si>
  <si>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</si>
  <si>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</si>
  <si>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</si>
  <si>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</si>
  <si>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</si>
  <si>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</si>
  <si>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</si>
  <si>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</si>
  <si>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</si>
  <si>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</si>
  <si>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</si>
  <si>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</si>
  <si>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</si>
  <si>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</si>
  <si>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</si>
  <si>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</si>
  <si>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</si>
  <si>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</si>
  <si>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</si>
  <si>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</si>
  <si>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</si>
  <si>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</si>
  <si>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</si>
  <si>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</si>
  <si>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</si>
  <si>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</si>
  <si>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</si>
  <si>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</si>
  <si>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</si>
  <si>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</si>
  <si>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</si>
  <si>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</si>
  <si>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</si>
  <si>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</si>
  <si>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</si>
  <si>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</si>
  <si>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</si>
  <si>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</si>
  <si>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</si>
  <si>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</si>
  <si>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</si>
  <si>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</si>
  <si>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</si>
  <si>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</si>
  <si>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</si>
  <si>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</si>
  <si>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</si>
  <si>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</si>
  <si>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</si>
  <si>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</si>
  <si>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</si>
  <si>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</si>
  <si>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</si>
  <si>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</si>
  <si>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</si>
  <si>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</si>
  <si>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</si>
  <si>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</si>
  <si>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</si>
  <si>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</si>
  <si>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</si>
  <si>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</si>
  <si>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</si>
  <si>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</si>
  <si>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</si>
  <si>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</si>
  <si>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</si>
  <si>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</si>
  <si>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</si>
  <si>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</si>
  <si>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</si>
  <si>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</si>
  <si>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</si>
  <si>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</si>
  <si>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</si>
  <si>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</si>
  <si>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</si>
  <si>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</si>
  <si>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</si>
  <si>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</si>
  <si>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</si>
  <si>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</si>
  <si>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</si>
  <si>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</si>
  <si>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</si>
  <si>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</si>
  <si>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</si>
  <si>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</si>
  <si>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</si>
  <si>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</si>
  <si>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</si>
  <si>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</si>
  <si>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</si>
  <si>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</si>
  <si>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</si>
  <si>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</si>
  <si>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</si>
  <si>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</si>
  <si>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</si>
  <si>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</si>
  <si>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</si>
  <si>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</si>
  <si>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</si>
  <si>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</si>
  <si>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</si>
  <si>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</si>
  <si>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</si>
  <si>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</si>
  <si>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</si>
  <si>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</si>
  <si>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</si>
  <si>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</si>
  <si>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</si>
  <si>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</si>
  <si>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</si>
  <si>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</si>
  <si>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</si>
  <si>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</si>
  <si>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</si>
  <si>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</si>
  <si>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</si>
  <si>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</si>
  <si>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</si>
  <si>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</si>
  <si>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</si>
  <si>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</si>
  <si>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</si>
  <si>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</si>
  <si>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</si>
  <si>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</si>
  <si>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</si>
  <si>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</si>
  <si>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</si>
  <si>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</si>
  <si>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</si>
  <si>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</si>
  <si>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</si>
  <si>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</si>
  <si>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</si>
  <si>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</si>
  <si>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</si>
  <si>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</si>
  <si>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</si>
  <si>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</si>
  <si>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</si>
  <si>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</si>
  <si>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</si>
  <si>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</si>
  <si>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</si>
  <si>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</si>
  <si>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</si>
  <si>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</si>
  <si>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</si>
  <si>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</si>
  <si>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</si>
  <si>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</si>
  <si>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</si>
  <si>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</si>
  <si>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</si>
  <si>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</si>
  <si>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</si>
  <si>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</si>
  <si>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</si>
  <si>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</si>
  <si>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</si>
  <si>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</si>
  <si>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</si>
  <si>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</si>
  <si>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</si>
  <si>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</si>
  <si>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</si>
  <si>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</si>
  <si>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</si>
  <si>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</si>
  <si>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</si>
  <si>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</si>
  <si>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</si>
  <si>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</si>
  <si>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</si>
  <si>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</si>
  <si>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</si>
  <si>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</si>
  <si>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</si>
  <si>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</si>
  <si>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</si>
  <si>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</si>
  <si>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</si>
  <si>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</si>
  <si>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</si>
  <si>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</si>
  <si>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</si>
  <si>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</si>
  <si>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</si>
  <si>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</si>
  <si>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</si>
  <si>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</si>
  <si>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</si>
  <si>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</si>
  <si>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</si>
  <si>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</si>
  <si>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</si>
  <si>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</si>
  <si>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</si>
  <si>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</si>
  <si>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</si>
  <si>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</si>
  <si>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</si>
  <si>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</si>
  <si>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</si>
  <si>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</si>
  <si>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</si>
  <si>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</si>
  <si>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</si>
  <si>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</si>
  <si>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</si>
  <si>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</si>
  <si>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</si>
  <si>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</si>
  <si>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</si>
  <si>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</si>
  <si>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</si>
  <si>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</si>
  <si>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</si>
  <si>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</si>
  <si>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</si>
  <si>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</si>
  <si>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</si>
  <si>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</si>
  <si>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</si>
  <si>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</si>
  <si>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</si>
  <si>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</si>
  <si>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</si>
  <si>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</si>
  <si>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</si>
  <si>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</si>
  <si>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</si>
  <si>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</si>
  <si>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</si>
  <si>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</si>
  <si>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</si>
  <si>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</si>
  <si>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</si>
  <si>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</si>
  <si>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</si>
  <si>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</si>
  <si>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</si>
  <si>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</si>
  <si>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</si>
  <si>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</si>
  <si>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</si>
  <si>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</si>
  <si>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</si>
  <si>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</si>
  <si>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</si>
  <si>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</si>
  <si>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</si>
  <si>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</si>
  <si>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</si>
  <si>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</si>
  <si>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</si>
  <si>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</si>
  <si>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</si>
  <si>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</si>
  <si>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</si>
  <si>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</si>
  <si>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</si>
  <si>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</si>
  <si>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</si>
  <si>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</si>
  <si>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</si>
  <si>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</si>
  <si>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</si>
  <si>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</si>
  <si>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</si>
  <si>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</si>
  <si>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</si>
  <si>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</si>
  <si>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</si>
  <si>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</si>
  <si>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</si>
  <si>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</si>
  <si>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</si>
  <si>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</si>
  <si>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</si>
  <si>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</si>
  <si>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</si>
  <si>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</si>
  <si>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</si>
  <si>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</si>
  <si>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</si>
  <si>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</si>
  <si>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</si>
  <si>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</si>
  <si>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</si>
  <si>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</si>
  <si>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</si>
  <si>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</si>
  <si>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</si>
  <si>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</si>
  <si>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</si>
  <si>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</si>
  <si>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</si>
  <si>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</si>
  <si>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</si>
  <si>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</si>
  <si>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</si>
  <si>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</si>
  <si>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</si>
  <si>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</si>
  <si>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</si>
  <si>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</si>
  <si>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</si>
  <si>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</si>
  <si>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</si>
  <si>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</si>
  <si>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</si>
  <si>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</si>
  <si>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</si>
  <si>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</si>
  <si>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</si>
  <si>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</si>
  <si>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</si>
  <si>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</si>
  <si>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</si>
  <si>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</si>
  <si>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</si>
  <si>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</si>
  <si>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</si>
  <si>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</si>
  <si>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</si>
  <si>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</si>
  <si>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</si>
  <si>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</si>
  <si>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</si>
  <si>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</si>
  <si>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</si>
  <si>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</si>
  <si>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</si>
  <si>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</si>
  <si>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</si>
  <si>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</si>
  <si>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</si>
  <si>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</si>
  <si>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</si>
  <si>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</si>
  <si>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</si>
  <si>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</si>
  <si>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</si>
  <si>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</si>
  <si>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</si>
  <si>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</si>
  <si>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</si>
  <si>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</si>
  <si>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</si>
  <si>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</si>
  <si>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</si>
  <si>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</si>
  <si>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</si>
  <si>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</si>
  <si>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</si>
  <si>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</si>
  <si>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</si>
  <si>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</si>
  <si>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</si>
  <si>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</si>
  <si>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</si>
  <si>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</si>
  <si>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</si>
  <si>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</si>
  <si>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</si>
  <si>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</si>
  <si>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</si>
  <si>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</si>
  <si>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</si>
  <si>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</si>
  <si>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</si>
  <si>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</si>
  <si>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</si>
  <si>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</si>
  <si>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</si>
  <si>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</si>
  <si>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</si>
  <si>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</si>
  <si>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</si>
  <si>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</si>
  <si>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</si>
  <si>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</si>
  <si>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</si>
  <si>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</si>
  <si>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</si>
  <si>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</si>
  <si>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</si>
  <si>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</si>
  <si>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</si>
  <si>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</si>
  <si>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</si>
  <si>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</si>
  <si>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</si>
  <si>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</si>
  <si>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</si>
  <si>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</si>
  <si>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</si>
  <si>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</si>
  <si>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</si>
  <si>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</si>
  <si>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</si>
  <si>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</si>
  <si>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</si>
  <si>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</si>
  <si>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</si>
  <si>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</si>
  <si>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</si>
  <si>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</si>
  <si>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</si>
  <si>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</si>
  <si>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</si>
  <si>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</si>
  <si>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</si>
  <si>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</si>
  <si>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</si>
  <si>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</si>
  <si>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</si>
  <si>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</si>
  <si>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</si>
  <si>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</si>
  <si>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</si>
  <si>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</si>
  <si>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</si>
  <si>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</si>
  <si>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</si>
  <si>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</si>
  <si>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</si>
  <si>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</si>
  <si>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</si>
  <si>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</si>
  <si>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</si>
  <si>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</si>
  <si>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</si>
  <si>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</si>
  <si>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</si>
  <si>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</si>
  <si>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</si>
  <si>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</si>
  <si>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</si>
  <si>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</si>
  <si>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</si>
  <si>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</si>
  <si>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</si>
  <si>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</si>
  <si>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</si>
  <si>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</si>
  <si>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</si>
  <si>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</si>
  <si>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</si>
  <si>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</si>
  <si>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</si>
  <si>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</si>
  <si>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</si>
  <si>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</si>
  <si>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</si>
  <si>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</si>
  <si>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</si>
  <si>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</si>
  <si>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</si>
  <si>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</si>
  <si>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</si>
  <si>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</si>
  <si>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</si>
  <si>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</si>
  <si>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</si>
  <si>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</si>
  <si>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</si>
  <si>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</si>
  <si>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</si>
  <si>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</si>
  <si>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</si>
  <si>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</si>
  <si>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</si>
  <si>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</si>
  <si>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</si>
  <si>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</si>
  <si>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</si>
  <si>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</si>
  <si>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</si>
  <si>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</si>
  <si>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</si>
  <si>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</si>
  <si>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</si>
  <si>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</si>
  <si>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</si>
  <si>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</si>
  <si>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</si>
  <si>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</si>
  <si>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</si>
  <si>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</si>
  <si>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</si>
  <si>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</si>
  <si>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</si>
  <si>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</si>
  <si>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</si>
  <si>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</si>
  <si>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</si>
  <si>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</si>
  <si>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</si>
  <si>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</si>
  <si>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</si>
  <si>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</si>
  <si>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</si>
  <si>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</si>
  <si>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</si>
  <si>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</si>
  <si>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</si>
  <si>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</si>
  <si>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</si>
  <si>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</si>
  <si>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</si>
  <si>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</si>
  <si>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</si>
  <si>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</si>
  <si>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</si>
  <si>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</si>
  <si>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</si>
  <si>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</si>
  <si>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</si>
  <si>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</si>
  <si>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</si>
  <si>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</si>
  <si>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</si>
  <si>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</si>
  <si>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</si>
  <si>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</si>
  <si>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</si>
  <si>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</si>
  <si>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</si>
  <si>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</si>
  <si>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</si>
  <si>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</si>
  <si>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</si>
  <si>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</si>
  <si>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</si>
  <si>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</si>
  <si>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</si>
  <si>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</si>
  <si>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</si>
  <si>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</si>
  <si>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</si>
  <si>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</si>
  <si>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</si>
  <si>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</si>
  <si>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</si>
  <si>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</si>
  <si>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</si>
  <si>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</si>
  <si>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</si>
  <si>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</si>
  <si>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</si>
  <si>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</si>
  <si>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</si>
  <si>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</si>
  <si>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</si>
  <si>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</si>
  <si>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</si>
  <si>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</si>
  <si>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</si>
  <si>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</si>
  <si>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</si>
  <si>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</si>
  <si>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</si>
  <si>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</si>
  <si>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</si>
  <si>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</si>
  <si>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</si>
  <si>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</si>
  <si>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</si>
  <si>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</si>
  <si>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</si>
  <si>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</si>
  <si>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</si>
  <si>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</si>
  <si>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</si>
  <si>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</si>
  <si>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</si>
  <si>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</si>
  <si>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</si>
  <si>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</si>
  <si>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</si>
  <si>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</si>
  <si>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</si>
  <si>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</si>
  <si>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</si>
  <si>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</si>
  <si>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</si>
  <si>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</si>
  <si>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</si>
  <si>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</si>
  <si>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</si>
  <si>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</si>
  <si>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</si>
  <si>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</si>
  <si>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</si>
  <si>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</si>
  <si>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</si>
  <si>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</si>
  <si>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</si>
  <si>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</si>
  <si>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</si>
  <si>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</si>
  <si>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</si>
  <si>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</si>
  <si>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</si>
  <si>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</si>
  <si>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</si>
  <si>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</si>
  <si>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</si>
  <si>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</si>
  <si>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</si>
  <si>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</si>
  <si>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</si>
  <si>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</si>
  <si>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</si>
  <si>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</si>
  <si>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</si>
  <si>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</si>
  <si>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</si>
  <si>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</si>
  <si>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</si>
  <si>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</si>
  <si>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</si>
  <si>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</si>
  <si>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</si>
  <si>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</si>
  <si>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</si>
  <si>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</si>
  <si>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</si>
  <si>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</si>
  <si>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</si>
  <si>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</si>
  <si>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</si>
  <si>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</si>
  <si>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</si>
  <si>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</si>
  <si>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</si>
  <si>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</si>
  <si>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</si>
  <si>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</si>
  <si>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</si>
  <si>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</si>
  <si>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</si>
  <si>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</si>
  <si>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</si>
  <si>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</si>
  <si>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</si>
  <si>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</si>
  <si>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</si>
  <si>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</si>
  <si>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</si>
  <si>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</si>
  <si>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</si>
  <si>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</si>
  <si>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</si>
  <si>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</si>
  <si>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</si>
  <si>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</si>
  <si>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</si>
  <si>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</si>
  <si>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</si>
  <si>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</si>
  <si>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</si>
  <si>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</si>
  <si>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</si>
  <si>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</si>
  <si>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</si>
  <si>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</si>
  <si>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</si>
  <si>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</si>
  <si>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</si>
  <si>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</si>
  <si>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</si>
  <si>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</si>
  <si>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</si>
  <si>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</si>
  <si>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</si>
  <si>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</si>
  <si>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</si>
  <si>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</si>
  <si>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</si>
  <si>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</si>
  <si>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</si>
  <si>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</si>
  <si>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</si>
  <si>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</si>
  <si>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</si>
  <si>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</si>
  <si>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</si>
  <si>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</si>
  <si>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</si>
  <si>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</si>
  <si>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</si>
  <si>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</si>
  <si>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</si>
  <si>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</si>
  <si>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</si>
  <si>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</si>
  <si>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</si>
  <si>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</si>
  <si>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</si>
  <si>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</si>
  <si>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</si>
  <si>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</si>
  <si>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</si>
  <si>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</si>
  <si>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</si>
  <si>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</si>
  <si>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</si>
  <si>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</si>
  <si>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</si>
  <si>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</si>
  <si>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</si>
  <si>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</si>
  <si>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</si>
  <si>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</si>
  <si>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</si>
  <si>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</si>
  <si>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</si>
  <si>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</si>
  <si>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</si>
  <si>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</si>
  <si>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</si>
  <si>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</si>
  <si>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</si>
  <si>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</si>
  <si>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</si>
  <si>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</si>
  <si>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</si>
  <si>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</si>
  <si>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</si>
  <si>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</si>
  <si>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</si>
  <si>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</si>
  <si>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</si>
  <si>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</si>
  <si>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</si>
  <si>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Rumney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</si>
</sst>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61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467</v>
      </c>
      <c r="C2" s="21">
        <v>467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177201.83</v>
      </c>
      <c r="G9" s="18">
        <v>-10339.5</v>
      </c>
      <c r="H9" s="18">
        <v>-31802.13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627985.44999999995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16978.259999999998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21245.03</v>
      </c>
      <c r="G13" s="18">
        <v>7617.11</v>
      </c>
      <c r="H13" s="18">
        <v>40143.480000000003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2489.36</v>
      </c>
      <c r="G14" s="18">
        <v>3892.05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217914.47999999998</v>
      </c>
      <c r="G19" s="41">
        <f>SUM(G9:G18)</f>
        <v>1169.6599999999999</v>
      </c>
      <c r="H19" s="41">
        <f>SUM(H9:H18)</f>
        <v>8341.3500000000022</v>
      </c>
      <c r="I19" s="41">
        <f>SUM(I9:I18)</f>
        <v>0</v>
      </c>
      <c r="J19" s="41">
        <f>SUM(J9:J18)</f>
        <v>627985.44999999995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33594.620000000003</v>
      </c>
      <c r="G24" s="18"/>
      <c r="H24" s="18">
        <v>8341.35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33594.620000000003</v>
      </c>
      <c r="G32" s="41">
        <f>SUM(G22:G31)</f>
        <v>0</v>
      </c>
      <c r="H32" s="41">
        <f>SUM(H22:H31)</f>
        <v>8341.35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47237.87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627985.44999999995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>
        <v>1169.6600000000001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62081.99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184319.86</v>
      </c>
      <c r="G51" s="41">
        <f>SUM(G35:G50)</f>
        <v>1169.6600000000001</v>
      </c>
      <c r="H51" s="41">
        <f>SUM(H35:H50)</f>
        <v>0</v>
      </c>
      <c r="I51" s="41">
        <f>SUM(I35:I50)</f>
        <v>0</v>
      </c>
      <c r="J51" s="41">
        <f>SUM(J35:J50)</f>
        <v>627985.44999999995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217914.47999999998</v>
      </c>
      <c r="G52" s="41">
        <f>G51+G32</f>
        <v>1169.6600000000001</v>
      </c>
      <c r="H52" s="41">
        <f>H51+H32</f>
        <v>8341.35</v>
      </c>
      <c r="I52" s="41">
        <f>I51+I32</f>
        <v>0</v>
      </c>
      <c r="J52" s="41">
        <f>J51+J32</f>
        <v>627985.44999999995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1874563.26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1874563.26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813.05</v>
      </c>
      <c r="G96" s="18"/>
      <c r="H96" s="18"/>
      <c r="I96" s="18"/>
      <c r="J96" s="18">
        <v>1156.74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17080.75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6575.73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10202.19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17590.97</v>
      </c>
      <c r="G111" s="41">
        <f>SUM(G96:G110)</f>
        <v>17080.75</v>
      </c>
      <c r="H111" s="41">
        <f>SUM(H96:H110)</f>
        <v>0</v>
      </c>
      <c r="I111" s="41">
        <f>SUM(I96:I110)</f>
        <v>0</v>
      </c>
      <c r="J111" s="41">
        <f>SUM(J96:J110)</f>
        <v>1156.74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1892154.23</v>
      </c>
      <c r="G112" s="41">
        <f>G60+G111</f>
        <v>17080.75</v>
      </c>
      <c r="H112" s="41">
        <f>H60+H79+H94+H111</f>
        <v>0</v>
      </c>
      <c r="I112" s="41">
        <f>I60+I111</f>
        <v>0</v>
      </c>
      <c r="J112" s="41">
        <f>J60+J111</f>
        <v>1156.74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455623.67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262786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718409.66999999993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722.97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722.97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718409.66999999993</v>
      </c>
      <c r="G140" s="41">
        <f>G121+SUM(G136:G137)</f>
        <v>722.97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113705.05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42617.279999999999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35296.21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38562.44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38562.44</v>
      </c>
      <c r="G162" s="41">
        <f>SUM(G150:G161)</f>
        <v>35296.21</v>
      </c>
      <c r="H162" s="41">
        <f>SUM(H150:H161)</f>
        <v>156322.33000000002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6419.79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 t="s">
        <v>287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44982.23</v>
      </c>
      <c r="G169" s="41">
        <f>G147+G162+SUM(G163:G168)</f>
        <v>35296.21</v>
      </c>
      <c r="H169" s="41">
        <f>H147+H162+SUM(H163:H168)</f>
        <v>156322.33000000002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3435.71</v>
      </c>
      <c r="H179" s="18"/>
      <c r="I179" s="18"/>
      <c r="J179" s="18">
        <v>210393.75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3435.71</v>
      </c>
      <c r="H183" s="41">
        <f>SUM(H179:H182)</f>
        <v>0</v>
      </c>
      <c r="I183" s="41">
        <f>SUM(I179:I182)</f>
        <v>0</v>
      </c>
      <c r="J183" s="41">
        <f>SUM(J179:J182)</f>
        <v>210393.75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3435.71</v>
      </c>
      <c r="H192" s="41">
        <f>+H183+SUM(H188:H191)</f>
        <v>0</v>
      </c>
      <c r="I192" s="41">
        <f>I177+I183+SUM(I188:I191)</f>
        <v>0</v>
      </c>
      <c r="J192" s="41">
        <f>J183</f>
        <v>210393.75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2655546.13</v>
      </c>
      <c r="G193" s="47">
        <f>G112+G140+G169+G192</f>
        <v>56535.64</v>
      </c>
      <c r="H193" s="47">
        <f>H112+H140+H169+H192</f>
        <v>156322.33000000002</v>
      </c>
      <c r="I193" s="47">
        <f>I112+I140+I169+I192</f>
        <v>0</v>
      </c>
      <c r="J193" s="47">
        <f>J112+J140+J192</f>
        <v>211550.49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576779.06999999995</v>
      </c>
      <c r="G197" s="18">
        <v>290379.7</v>
      </c>
      <c r="H197" s="18">
        <v>1840.5</v>
      </c>
      <c r="I197" s="18">
        <v>26860.12</v>
      </c>
      <c r="J197" s="18">
        <v>18820.64</v>
      </c>
      <c r="K197" s="18">
        <v>5982.58</v>
      </c>
      <c r="L197" s="19">
        <f>SUM(F197:K197)</f>
        <v>920662.61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205785.38</v>
      </c>
      <c r="G198" s="18">
        <v>69331.86</v>
      </c>
      <c r="H198" s="18">
        <v>136010.44</v>
      </c>
      <c r="I198" s="18">
        <v>336.18</v>
      </c>
      <c r="J198" s="18">
        <v>249</v>
      </c>
      <c r="K198" s="18"/>
      <c r="L198" s="19">
        <f>SUM(F198:K198)</f>
        <v>411712.86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65751</v>
      </c>
      <c r="G200" s="18">
        <v>8565.19</v>
      </c>
      <c r="H200" s="18">
        <v>5349.1</v>
      </c>
      <c r="I200" s="18">
        <v>1370.11</v>
      </c>
      <c r="J200" s="18"/>
      <c r="K200" s="18"/>
      <c r="L200" s="19">
        <f>SUM(F200:K200)</f>
        <v>81035.400000000009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38500</v>
      </c>
      <c r="G202" s="18">
        <v>24774.82</v>
      </c>
      <c r="H202" s="18">
        <v>179318.2</v>
      </c>
      <c r="I202" s="18">
        <v>4100.1899999999996</v>
      </c>
      <c r="J202" s="18"/>
      <c r="K202" s="18"/>
      <c r="L202" s="19">
        <f t="shared" ref="L202:L208" si="0">SUM(F202:K202)</f>
        <v>246693.21000000002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175</v>
      </c>
      <c r="G203" s="18">
        <v>5500.48</v>
      </c>
      <c r="H203" s="18">
        <v>513.29</v>
      </c>
      <c r="I203" s="18">
        <v>2358.04</v>
      </c>
      <c r="J203" s="18">
        <v>1577.75</v>
      </c>
      <c r="K203" s="18"/>
      <c r="L203" s="19">
        <f t="shared" si="0"/>
        <v>10124.56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5545</v>
      </c>
      <c r="G204" s="18">
        <v>419.67</v>
      </c>
      <c r="H204" s="18">
        <v>87089.49</v>
      </c>
      <c r="I204" s="18">
        <v>103.98</v>
      </c>
      <c r="J204" s="18"/>
      <c r="K204" s="18">
        <v>3948.46</v>
      </c>
      <c r="L204" s="19">
        <f t="shared" si="0"/>
        <v>97106.6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120775</v>
      </c>
      <c r="G205" s="18">
        <v>67386.720000000001</v>
      </c>
      <c r="H205" s="18">
        <v>4167.6000000000004</v>
      </c>
      <c r="I205" s="18">
        <v>2800.35</v>
      </c>
      <c r="J205" s="18"/>
      <c r="K205" s="18">
        <v>511.91</v>
      </c>
      <c r="L205" s="19">
        <f t="shared" si="0"/>
        <v>195641.58000000002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v>150</v>
      </c>
      <c r="I206" s="18"/>
      <c r="J206" s="18"/>
      <c r="K206" s="18"/>
      <c r="L206" s="19">
        <f t="shared" si="0"/>
        <v>150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67829.399999999994</v>
      </c>
      <c r="G207" s="18">
        <v>37507.519999999997</v>
      </c>
      <c r="H207" s="18">
        <v>67364.97</v>
      </c>
      <c r="I207" s="18">
        <v>48351.09</v>
      </c>
      <c r="J207" s="18"/>
      <c r="K207" s="18"/>
      <c r="L207" s="19">
        <f t="shared" si="0"/>
        <v>221052.97999999998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129194.55</v>
      </c>
      <c r="I208" s="18"/>
      <c r="J208" s="18"/>
      <c r="K208" s="18"/>
      <c r="L208" s="19">
        <f t="shared" si="0"/>
        <v>129194.55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1081139.8499999999</v>
      </c>
      <c r="G211" s="41">
        <f t="shared" si="1"/>
        <v>503865.95999999996</v>
      </c>
      <c r="H211" s="41">
        <f t="shared" si="1"/>
        <v>610998.14</v>
      </c>
      <c r="I211" s="41">
        <f t="shared" si="1"/>
        <v>86280.06</v>
      </c>
      <c r="J211" s="41">
        <f t="shared" si="1"/>
        <v>20647.39</v>
      </c>
      <c r="K211" s="41">
        <f t="shared" si="1"/>
        <v>10442.950000000001</v>
      </c>
      <c r="L211" s="41">
        <f t="shared" si="1"/>
        <v>2313374.3499999996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>
        <v>25.25</v>
      </c>
      <c r="I253" s="18"/>
      <c r="J253" s="18"/>
      <c r="K253" s="18"/>
      <c r="L253" s="19">
        <f t="shared" si="6"/>
        <v>25.25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54785.7</v>
      </c>
      <c r="I255" s="18"/>
      <c r="J255" s="18">
        <v>337.32</v>
      </c>
      <c r="K255" s="18"/>
      <c r="L255" s="19">
        <f t="shared" si="6"/>
        <v>55123.02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54810.95</v>
      </c>
      <c r="I256" s="41">
        <f t="shared" si="7"/>
        <v>0</v>
      </c>
      <c r="J256" s="41">
        <f t="shared" si="7"/>
        <v>337.32</v>
      </c>
      <c r="K256" s="41">
        <f t="shared" si="7"/>
        <v>0</v>
      </c>
      <c r="L256" s="41">
        <f>SUM(F256:K256)</f>
        <v>55148.27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1081139.8499999999</v>
      </c>
      <c r="G257" s="41">
        <f t="shared" si="8"/>
        <v>503865.95999999996</v>
      </c>
      <c r="H257" s="41">
        <f t="shared" si="8"/>
        <v>665809.09</v>
      </c>
      <c r="I257" s="41">
        <f t="shared" si="8"/>
        <v>86280.06</v>
      </c>
      <c r="J257" s="41">
        <f t="shared" si="8"/>
        <v>20984.71</v>
      </c>
      <c r="K257" s="41">
        <f t="shared" si="8"/>
        <v>10442.950000000001</v>
      </c>
      <c r="L257" s="41">
        <f t="shared" si="8"/>
        <v>2368522.6199999996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3435.71</v>
      </c>
      <c r="L263" s="19">
        <f>SUM(F263:K263)</f>
        <v>3435.71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210393.75</v>
      </c>
      <c r="L266" s="19">
        <f t="shared" si="9"/>
        <v>210393.75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213829.46</v>
      </c>
      <c r="L270" s="41">
        <f t="shared" si="9"/>
        <v>213829.46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1081139.8499999999</v>
      </c>
      <c r="G271" s="42">
        <f t="shared" si="11"/>
        <v>503865.95999999996</v>
      </c>
      <c r="H271" s="42">
        <f t="shared" si="11"/>
        <v>665809.09</v>
      </c>
      <c r="I271" s="42">
        <f t="shared" si="11"/>
        <v>86280.06</v>
      </c>
      <c r="J271" s="42">
        <f t="shared" si="11"/>
        <v>20984.71</v>
      </c>
      <c r="K271" s="42">
        <f t="shared" si="11"/>
        <v>224272.41</v>
      </c>
      <c r="L271" s="42">
        <f t="shared" si="11"/>
        <v>2582352.0799999996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58416</v>
      </c>
      <c r="G276" s="18">
        <v>11989.94</v>
      </c>
      <c r="H276" s="18"/>
      <c r="I276" s="18">
        <v>7297.12</v>
      </c>
      <c r="J276" s="18">
        <v>20106.48</v>
      </c>
      <c r="K276" s="18">
        <v>2725</v>
      </c>
      <c r="L276" s="19">
        <f>SUM(F276:K276)</f>
        <v>100534.54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14253.75</v>
      </c>
      <c r="G279" s="18">
        <v>1449.64</v>
      </c>
      <c r="H279" s="18"/>
      <c r="I279" s="18">
        <v>1873.45</v>
      </c>
      <c r="J279" s="18"/>
      <c r="K279" s="18">
        <v>1631.5</v>
      </c>
      <c r="L279" s="19">
        <f>SUM(F279:K279)</f>
        <v>19208.34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>
        <v>895.13</v>
      </c>
      <c r="J281" s="18"/>
      <c r="K281" s="18"/>
      <c r="L281" s="19">
        <f t="shared" ref="L281:L287" si="12">SUM(F281:K281)</f>
        <v>895.13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23925</v>
      </c>
      <c r="I282" s="18"/>
      <c r="J282" s="18"/>
      <c r="K282" s="18"/>
      <c r="L282" s="19">
        <f t="shared" si="12"/>
        <v>23925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5090.33</v>
      </c>
      <c r="G283" s="18"/>
      <c r="H283" s="18"/>
      <c r="I283" s="18"/>
      <c r="J283" s="18"/>
      <c r="K283" s="18">
        <v>132.80000000000001</v>
      </c>
      <c r="L283" s="19">
        <f t="shared" si="12"/>
        <v>5223.13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2036.19</v>
      </c>
      <c r="L285" s="19">
        <f t="shared" si="12"/>
        <v>2036.19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4500</v>
      </c>
      <c r="I287" s="18"/>
      <c r="J287" s="18"/>
      <c r="K287" s="18"/>
      <c r="L287" s="19">
        <f t="shared" si="12"/>
        <v>4500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77760.08</v>
      </c>
      <c r="G290" s="42">
        <f t="shared" si="13"/>
        <v>13439.58</v>
      </c>
      <c r="H290" s="42">
        <f t="shared" si="13"/>
        <v>28425</v>
      </c>
      <c r="I290" s="42">
        <f t="shared" si="13"/>
        <v>10065.699999999999</v>
      </c>
      <c r="J290" s="42">
        <f t="shared" si="13"/>
        <v>20106.48</v>
      </c>
      <c r="K290" s="42">
        <f t="shared" si="13"/>
        <v>6525.49</v>
      </c>
      <c r="L290" s="41">
        <f t="shared" si="13"/>
        <v>156322.33000000002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77760.08</v>
      </c>
      <c r="G338" s="41">
        <f t="shared" si="20"/>
        <v>13439.58</v>
      </c>
      <c r="H338" s="41">
        <f t="shared" si="20"/>
        <v>28425</v>
      </c>
      <c r="I338" s="41">
        <f t="shared" si="20"/>
        <v>10065.699999999999</v>
      </c>
      <c r="J338" s="41">
        <f t="shared" si="20"/>
        <v>20106.48</v>
      </c>
      <c r="K338" s="41">
        <f t="shared" si="20"/>
        <v>6525.49</v>
      </c>
      <c r="L338" s="41">
        <f t="shared" si="20"/>
        <v>156322.33000000002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77760.08</v>
      </c>
      <c r="G352" s="41">
        <f>G338</f>
        <v>13439.58</v>
      </c>
      <c r="H352" s="41">
        <f>H338</f>
        <v>28425</v>
      </c>
      <c r="I352" s="41">
        <f>I338</f>
        <v>10065.699999999999</v>
      </c>
      <c r="J352" s="41">
        <f>J338</f>
        <v>20106.48</v>
      </c>
      <c r="K352" s="47">
        <f>K338+K351</f>
        <v>6525.49</v>
      </c>
      <c r="L352" s="41">
        <f>L338+L351</f>
        <v>156322.33000000002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65552</v>
      </c>
      <c r="I358" s="18"/>
      <c r="J358" s="18"/>
      <c r="K358" s="18"/>
      <c r="L358" s="13">
        <f>SUM(F358:K358)</f>
        <v>65552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65552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65552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>
        <v>14.64</v>
      </c>
      <c r="I387" s="18"/>
      <c r="J387" s="24" t="s">
        <v>289</v>
      </c>
      <c r="K387" s="24" t="s">
        <v>289</v>
      </c>
      <c r="L387" s="56">
        <f t="shared" ref="L387:L392" si="25">SUM(F387:K387)</f>
        <v>14.64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 t="s">
        <v>287</v>
      </c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14.64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14.64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210393.75</v>
      </c>
      <c r="H396" s="18">
        <v>1066.52</v>
      </c>
      <c r="I396" s="18"/>
      <c r="J396" s="24" t="s">
        <v>289</v>
      </c>
      <c r="K396" s="24" t="s">
        <v>289</v>
      </c>
      <c r="L396" s="56">
        <f t="shared" si="26"/>
        <v>211460.27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75.58</v>
      </c>
      <c r="I397" s="18"/>
      <c r="J397" s="24" t="s">
        <v>289</v>
      </c>
      <c r="K397" s="24" t="s">
        <v>289</v>
      </c>
      <c r="L397" s="56">
        <f t="shared" si="26"/>
        <v>75.58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210393.75</v>
      </c>
      <c r="H401" s="47">
        <f>SUM(H395:H400)</f>
        <v>1142.0999999999999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211535.84999999998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210393.75</v>
      </c>
      <c r="H408" s="47">
        <f>H393+H401+H407</f>
        <v>1156.74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211550.49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627985.44999999995</v>
      </c>
      <c r="G440" s="18"/>
      <c r="H440" s="18"/>
      <c r="I440" s="56">
        <f t="shared" si="33"/>
        <v>627985.44999999995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627985.44999999995</v>
      </c>
      <c r="G446" s="13">
        <f>SUM(G439:G445)</f>
        <v>0</v>
      </c>
      <c r="H446" s="13">
        <f>SUM(H439:H445)</f>
        <v>0</v>
      </c>
      <c r="I446" s="13">
        <f>SUM(I439:I445)</f>
        <v>627985.44999999995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627985.44999999995</v>
      </c>
      <c r="G459" s="18"/>
      <c r="H459" s="18"/>
      <c r="I459" s="56">
        <f t="shared" si="34"/>
        <v>627985.44999999995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627985.44999999995</v>
      </c>
      <c r="G460" s="83">
        <f>SUM(G454:G459)</f>
        <v>0</v>
      </c>
      <c r="H460" s="83">
        <f>SUM(H454:H459)</f>
        <v>0</v>
      </c>
      <c r="I460" s="83">
        <f>SUM(I454:I459)</f>
        <v>627985.44999999995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627985.44999999995</v>
      </c>
      <c r="G461" s="42">
        <f>G452+G460</f>
        <v>0</v>
      </c>
      <c r="H461" s="42">
        <f>H452+H460</f>
        <v>0</v>
      </c>
      <c r="I461" s="42">
        <f>I452+I460</f>
        <v>627985.44999999995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111125.81</v>
      </c>
      <c r="G465" s="18">
        <v>10186.02</v>
      </c>
      <c r="H465" s="18">
        <v>0</v>
      </c>
      <c r="I465" s="18"/>
      <c r="J465" s="18">
        <v>416434.96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2655546.13</v>
      </c>
      <c r="G468" s="18">
        <v>56535.64</v>
      </c>
      <c r="H468" s="18">
        <v>156322.32999999999</v>
      </c>
      <c r="I468" s="18"/>
      <c r="J468" s="18">
        <v>211550.49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2655546.13</v>
      </c>
      <c r="G470" s="53">
        <f>SUM(G468:G469)</f>
        <v>56535.64</v>
      </c>
      <c r="H470" s="53">
        <f>SUM(H468:H469)</f>
        <v>156322.32999999999</v>
      </c>
      <c r="I470" s="53">
        <f>SUM(I468:I469)</f>
        <v>0</v>
      </c>
      <c r="J470" s="53">
        <f>SUM(J468:J469)</f>
        <v>211550.49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2582352.08</v>
      </c>
      <c r="G472" s="18">
        <v>65552</v>
      </c>
      <c r="H472" s="18">
        <v>156322.32999999999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2582352.08</v>
      </c>
      <c r="G474" s="53">
        <f>SUM(G472:G473)</f>
        <v>65552</v>
      </c>
      <c r="H474" s="53">
        <f>SUM(H472:H473)</f>
        <v>156322.32999999999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184319.85999999987</v>
      </c>
      <c r="G476" s="53">
        <f>(G465+G470)- G474</f>
        <v>1169.6600000000035</v>
      </c>
      <c r="H476" s="53">
        <f>(H465+H470)- H474</f>
        <v>0</v>
      </c>
      <c r="I476" s="53">
        <f>(I465+I470)- I474</f>
        <v>0</v>
      </c>
      <c r="J476" s="53">
        <f>(J465+J470)- J474</f>
        <v>627985.44999999995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205785.38</v>
      </c>
      <c r="G521" s="18">
        <v>69331.86</v>
      </c>
      <c r="H521" s="18">
        <v>136010.44</v>
      </c>
      <c r="I521" s="18">
        <v>336.18</v>
      </c>
      <c r="J521" s="18">
        <v>249</v>
      </c>
      <c r="K521" s="18"/>
      <c r="L521" s="88">
        <f>SUM(F521:K521)</f>
        <v>411712.86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205785.38</v>
      </c>
      <c r="G524" s="108">
        <f t="shared" ref="G524:L524" si="36">SUM(G521:G523)</f>
        <v>69331.86</v>
      </c>
      <c r="H524" s="108">
        <f t="shared" si="36"/>
        <v>136010.44</v>
      </c>
      <c r="I524" s="108">
        <f t="shared" si="36"/>
        <v>336.18</v>
      </c>
      <c r="J524" s="108">
        <f t="shared" si="36"/>
        <v>249</v>
      </c>
      <c r="K524" s="108">
        <f t="shared" si="36"/>
        <v>0</v>
      </c>
      <c r="L524" s="89">
        <f t="shared" si="36"/>
        <v>411712.86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7700</v>
      </c>
      <c r="G526" s="18">
        <v>4954.96</v>
      </c>
      <c r="H526" s="18">
        <v>124546.8</v>
      </c>
      <c r="I526" s="18">
        <v>1658.74</v>
      </c>
      <c r="J526" s="18"/>
      <c r="K526" s="18"/>
      <c r="L526" s="88">
        <f>SUM(F526:K526)</f>
        <v>138860.5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7700</v>
      </c>
      <c r="G529" s="89">
        <f t="shared" ref="G529:L529" si="37">SUM(G526:G528)</f>
        <v>4954.96</v>
      </c>
      <c r="H529" s="89">
        <f t="shared" si="37"/>
        <v>124546.8</v>
      </c>
      <c r="I529" s="89">
        <f t="shared" si="37"/>
        <v>1658.74</v>
      </c>
      <c r="J529" s="89">
        <f t="shared" si="37"/>
        <v>0</v>
      </c>
      <c r="K529" s="89">
        <f t="shared" si="37"/>
        <v>0</v>
      </c>
      <c r="L529" s="89">
        <f t="shared" si="37"/>
        <v>138860.5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6434.33</v>
      </c>
      <c r="G531" s="18">
        <v>2607.42</v>
      </c>
      <c r="H531" s="18">
        <v>85.5</v>
      </c>
      <c r="I531" s="18"/>
      <c r="J531" s="18"/>
      <c r="K531" s="18"/>
      <c r="L531" s="88">
        <f>SUM(F531:K531)</f>
        <v>9127.25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6434.33</v>
      </c>
      <c r="G534" s="89">
        <f t="shared" ref="G534:L534" si="38">SUM(G531:G533)</f>
        <v>2607.42</v>
      </c>
      <c r="H534" s="89">
        <f t="shared" si="38"/>
        <v>85.5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9127.25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24176.55</v>
      </c>
      <c r="I541" s="18"/>
      <c r="J541" s="18"/>
      <c r="K541" s="18"/>
      <c r="L541" s="88">
        <f>SUM(F541:K541)</f>
        <v>24176.55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24176.55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24176.55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219919.71</v>
      </c>
      <c r="G545" s="89">
        <f t="shared" ref="G545:L545" si="41">G524+G529+G534+G539+G544</f>
        <v>76894.240000000005</v>
      </c>
      <c r="H545" s="89">
        <f t="shared" si="41"/>
        <v>284819.28999999998</v>
      </c>
      <c r="I545" s="89">
        <f t="shared" si="41"/>
        <v>1994.92</v>
      </c>
      <c r="J545" s="89">
        <f t="shared" si="41"/>
        <v>249</v>
      </c>
      <c r="K545" s="89">
        <f t="shared" si="41"/>
        <v>0</v>
      </c>
      <c r="L545" s="89">
        <f t="shared" si="41"/>
        <v>583877.16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411712.86</v>
      </c>
      <c r="G549" s="87">
        <f>L526</f>
        <v>138860.5</v>
      </c>
      <c r="H549" s="87">
        <f>L531</f>
        <v>9127.25</v>
      </c>
      <c r="I549" s="87">
        <f>L536</f>
        <v>0</v>
      </c>
      <c r="J549" s="87">
        <f>L541</f>
        <v>24176.55</v>
      </c>
      <c r="K549" s="87">
        <f>SUM(F549:J549)</f>
        <v>583877.16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411712.86</v>
      </c>
      <c r="G552" s="89">
        <f t="shared" si="42"/>
        <v>138860.5</v>
      </c>
      <c r="H552" s="89">
        <f t="shared" si="42"/>
        <v>9127.25</v>
      </c>
      <c r="I552" s="89">
        <f t="shared" si="42"/>
        <v>0</v>
      </c>
      <c r="J552" s="89">
        <f t="shared" si="42"/>
        <v>24176.55</v>
      </c>
      <c r="K552" s="89">
        <f t="shared" si="42"/>
        <v>583877.16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>
        <v>6349</v>
      </c>
      <c r="J567" s="18"/>
      <c r="K567" s="18"/>
      <c r="L567" s="88">
        <f>SUM(F567:K567)</f>
        <v>6349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6349</v>
      </c>
      <c r="J570" s="193">
        <f t="shared" si="45"/>
        <v>0</v>
      </c>
      <c r="K570" s="193">
        <f t="shared" si="45"/>
        <v>0</v>
      </c>
      <c r="L570" s="193">
        <f t="shared" si="45"/>
        <v>6349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6349</v>
      </c>
      <c r="J571" s="89">
        <f t="shared" si="46"/>
        <v>0</v>
      </c>
      <c r="K571" s="89">
        <f t="shared" si="46"/>
        <v>0</v>
      </c>
      <c r="L571" s="89">
        <f t="shared" si="46"/>
        <v>6349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65752.44</v>
      </c>
      <c r="G579" s="18"/>
      <c r="H579" s="18"/>
      <c r="I579" s="87">
        <f t="shared" si="47"/>
        <v>65752.44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102303</v>
      </c>
      <c r="I591" s="18"/>
      <c r="J591" s="18"/>
      <c r="K591" s="104">
        <f t="shared" ref="K591:K597" si="48">SUM(H591:J591)</f>
        <v>102303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24176.55</v>
      </c>
      <c r="I592" s="18"/>
      <c r="J592" s="18"/>
      <c r="K592" s="104">
        <f t="shared" si="48"/>
        <v>24176.55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1690</v>
      </c>
      <c r="I594" s="18"/>
      <c r="J594" s="18"/>
      <c r="K594" s="104">
        <f t="shared" si="48"/>
        <v>1690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1025</v>
      </c>
      <c r="I595" s="18"/>
      <c r="J595" s="18"/>
      <c r="K595" s="104">
        <f t="shared" si="48"/>
        <v>1025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129194.55</v>
      </c>
      <c r="I598" s="108">
        <f>SUM(I591:I597)</f>
        <v>0</v>
      </c>
      <c r="J598" s="108">
        <f>SUM(J591:J597)</f>
        <v>0</v>
      </c>
      <c r="K598" s="108">
        <f>SUM(K591:K597)</f>
        <v>129194.55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40753.870000000003</v>
      </c>
      <c r="I604" s="18"/>
      <c r="J604" s="18"/>
      <c r="K604" s="104">
        <f>SUM(H604:J604)</f>
        <v>40753.870000000003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40753.870000000003</v>
      </c>
      <c r="I605" s="108">
        <f>SUM(I602:I604)</f>
        <v>0</v>
      </c>
      <c r="J605" s="108">
        <f>SUM(J602:J604)</f>
        <v>0</v>
      </c>
      <c r="K605" s="108">
        <f>SUM(K602:K604)</f>
        <v>40753.870000000003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14271.25</v>
      </c>
      <c r="G611" s="18">
        <v>1452.92</v>
      </c>
      <c r="H611" s="18">
        <v>600</v>
      </c>
      <c r="I611" s="18">
        <v>1873.45</v>
      </c>
      <c r="J611" s="18"/>
      <c r="K611" s="18">
        <v>1631.5</v>
      </c>
      <c r="L611" s="88">
        <f>SUM(F611:K611)</f>
        <v>19829.12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14271.25</v>
      </c>
      <c r="G614" s="108">
        <f t="shared" si="49"/>
        <v>1452.92</v>
      </c>
      <c r="H614" s="108">
        <f t="shared" si="49"/>
        <v>600</v>
      </c>
      <c r="I614" s="108">
        <f t="shared" si="49"/>
        <v>1873.45</v>
      </c>
      <c r="J614" s="108">
        <f t="shared" si="49"/>
        <v>0</v>
      </c>
      <c r="K614" s="108">
        <f t="shared" si="49"/>
        <v>1631.5</v>
      </c>
      <c r="L614" s="89">
        <f t="shared" si="49"/>
        <v>19829.12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217914.47999999998</v>
      </c>
      <c r="H617" s="109">
        <f>SUM(F52)</f>
        <v>217914.47999999998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1169.6599999999999</v>
      </c>
      <c r="H618" s="109">
        <f>SUM(G52)</f>
        <v>1169.6600000000001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8341.3500000000022</v>
      </c>
      <c r="H619" s="109">
        <f>SUM(H52)</f>
        <v>8341.35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627985.44999999995</v>
      </c>
      <c r="H621" s="109">
        <f>SUM(J52)</f>
        <v>627985.44999999995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184319.86</v>
      </c>
      <c r="H622" s="109">
        <f>F476</f>
        <v>184319.85999999987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1169.6600000000001</v>
      </c>
      <c r="H623" s="109">
        <f>G476</f>
        <v>1169.6600000000035</v>
      </c>
      <c r="I623" s="121" t="s">
        <v>102</v>
      </c>
      <c r="J623" s="109">
        <f t="shared" si="50"/>
        <v>-3.4106051316484809E-12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627985.44999999995</v>
      </c>
      <c r="H626" s="109">
        <f>J476</f>
        <v>627985.44999999995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2655546.13</v>
      </c>
      <c r="H627" s="104">
        <f>SUM(F468)</f>
        <v>2655546.13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56535.64</v>
      </c>
      <c r="H628" s="104">
        <f>SUM(G468)</f>
        <v>56535.64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156322.33000000002</v>
      </c>
      <c r="H629" s="104">
        <f>SUM(H468)</f>
        <v>156322.32999999999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211550.49</v>
      </c>
      <c r="H631" s="104">
        <f>SUM(J468)</f>
        <v>211550.49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2582352.0799999996</v>
      </c>
      <c r="H632" s="104">
        <f>SUM(F472)</f>
        <v>2582352.08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156322.33000000002</v>
      </c>
      <c r="H633" s="104">
        <f>SUM(H472)</f>
        <v>156322.32999999999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65552</v>
      </c>
      <c r="H635" s="104">
        <f>SUM(G472)</f>
        <v>65552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211550.49</v>
      </c>
      <c r="H637" s="164">
        <f>SUM(J468)</f>
        <v>211550.49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627985.44999999995</v>
      </c>
      <c r="H639" s="104">
        <f>SUM(F461)</f>
        <v>627985.44999999995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627985.44999999995</v>
      </c>
      <c r="H642" s="104">
        <f>SUM(I461)</f>
        <v>627985.44999999995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1156.74</v>
      </c>
      <c r="H644" s="104">
        <f>H408</f>
        <v>1156.74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210393.75</v>
      </c>
      <c r="H645" s="104">
        <f>G408</f>
        <v>210393.75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211550.49</v>
      </c>
      <c r="H646" s="104">
        <f>L408</f>
        <v>211550.49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129194.55</v>
      </c>
      <c r="H647" s="104">
        <f>L208+L226+L244</f>
        <v>129194.55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40753.870000000003</v>
      </c>
      <c r="H648" s="104">
        <f>(J257+J338)-(J255+J336)</f>
        <v>40753.870000000003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129194.55</v>
      </c>
      <c r="H649" s="104">
        <f>H598</f>
        <v>129194.55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3435.71</v>
      </c>
      <c r="H652" s="104">
        <f>K263+K345</f>
        <v>3435.71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210393.75</v>
      </c>
      <c r="H655" s="104">
        <f>K266+K347</f>
        <v>210393.75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2535248.6799999997</v>
      </c>
      <c r="G660" s="19">
        <f>(L229+L309+L359)</f>
        <v>0</v>
      </c>
      <c r="H660" s="19">
        <f>(L247+L328+L360)</f>
        <v>0</v>
      </c>
      <c r="I660" s="19">
        <f>SUM(F660:H660)</f>
        <v>2535248.6799999997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17080.75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17080.75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133694.54999999999</v>
      </c>
      <c r="G662" s="19">
        <f>(L226+L306)-(J226+J306)</f>
        <v>0</v>
      </c>
      <c r="H662" s="19">
        <f>(L244+L325)-(J244+J325)</f>
        <v>0</v>
      </c>
      <c r="I662" s="19">
        <f>SUM(F662:H662)</f>
        <v>133694.54999999999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126335.43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126335.43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2258137.9499999997</v>
      </c>
      <c r="G664" s="19">
        <f>G660-SUM(G661:G663)</f>
        <v>0</v>
      </c>
      <c r="H664" s="19">
        <f>H660-SUM(H661:H663)</f>
        <v>0</v>
      </c>
      <c r="I664" s="19">
        <f>I660-SUM(I661:I663)</f>
        <v>2258137.9499999997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96.16</v>
      </c>
      <c r="G665" s="248"/>
      <c r="H665" s="248"/>
      <c r="I665" s="19">
        <f>SUM(F665:H665)</f>
        <v>96.16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23483.13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23483.13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23483.13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23483.13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50" sqref="C5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Rumney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635195.06999999995</v>
      </c>
      <c r="C9" s="229">
        <f>'DOE25'!G197+'DOE25'!G215+'DOE25'!G233+'DOE25'!G276+'DOE25'!G295+'DOE25'!G314</f>
        <v>302369.64</v>
      </c>
    </row>
    <row r="10" spans="1:3" x14ac:dyDescent="0.2">
      <c r="A10" t="s">
        <v>779</v>
      </c>
      <c r="B10" s="240">
        <v>621610.18000000005</v>
      </c>
      <c r="C10" s="240">
        <v>301114.64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13584.89</v>
      </c>
      <c r="C12" s="240">
        <v>1255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635195.07000000007</v>
      </c>
      <c r="C13" s="231">
        <f>SUM(C10:C12)</f>
        <v>302369.64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205785.38</v>
      </c>
      <c r="C18" s="229">
        <f>'DOE25'!G198+'DOE25'!G216+'DOE25'!G234+'DOE25'!G277+'DOE25'!G296+'DOE25'!G315</f>
        <v>69331.86</v>
      </c>
    </row>
    <row r="19" spans="1:3" x14ac:dyDescent="0.2">
      <c r="A19" t="s">
        <v>779</v>
      </c>
      <c r="B19" s="240">
        <v>65712</v>
      </c>
      <c r="C19" s="240">
        <v>32228.51</v>
      </c>
    </row>
    <row r="20" spans="1:3" x14ac:dyDescent="0.2">
      <c r="A20" t="s">
        <v>780</v>
      </c>
      <c r="B20" s="240">
        <v>134215.88</v>
      </c>
      <c r="C20" s="240">
        <v>36508</v>
      </c>
    </row>
    <row r="21" spans="1:3" x14ac:dyDescent="0.2">
      <c r="A21" t="s">
        <v>781</v>
      </c>
      <c r="B21" s="240">
        <v>5857.5</v>
      </c>
      <c r="C21" s="240">
        <v>595.35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205785.38</v>
      </c>
      <c r="C22" s="231">
        <f>SUM(C19:C21)</f>
        <v>69331.86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80004.75</v>
      </c>
      <c r="C36" s="235">
        <f>'DOE25'!G200+'DOE25'!G218+'DOE25'!G236+'DOE25'!G279+'DOE25'!G298+'DOE25'!G317</f>
        <v>10014.83</v>
      </c>
    </row>
    <row r="37" spans="1:3" x14ac:dyDescent="0.2">
      <c r="A37" t="s">
        <v>779</v>
      </c>
      <c r="B37" s="240">
        <v>80004.75</v>
      </c>
      <c r="C37" s="240">
        <v>10014.83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80004.75</v>
      </c>
      <c r="C40" s="231">
        <f>SUM(C37:C39)</f>
        <v>10014.83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FY2015-2016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3" sqref="D1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Rumney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1413410.8699999999</v>
      </c>
      <c r="D5" s="20">
        <f>SUM('DOE25'!L197:L200)+SUM('DOE25'!L215:L218)+SUM('DOE25'!L233:L236)-F5-G5</f>
        <v>1388358.65</v>
      </c>
      <c r="E5" s="243"/>
      <c r="F5" s="255">
        <f>SUM('DOE25'!J197:J200)+SUM('DOE25'!J215:J218)+SUM('DOE25'!J233:J236)</f>
        <v>19069.64</v>
      </c>
      <c r="G5" s="53">
        <f>SUM('DOE25'!K197:K200)+SUM('DOE25'!K215:K218)+SUM('DOE25'!K233:K236)</f>
        <v>5982.58</v>
      </c>
      <c r="H5" s="259"/>
    </row>
    <row r="6" spans="1:9" x14ac:dyDescent="0.2">
      <c r="A6" s="32">
        <v>2100</v>
      </c>
      <c r="B6" t="s">
        <v>801</v>
      </c>
      <c r="C6" s="245">
        <f t="shared" si="0"/>
        <v>246693.21000000002</v>
      </c>
      <c r="D6" s="20">
        <f>'DOE25'!L202+'DOE25'!L220+'DOE25'!L238-F6-G6</f>
        <v>246693.21000000002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10124.56</v>
      </c>
      <c r="D7" s="20">
        <f>'DOE25'!L203+'DOE25'!L221+'DOE25'!L239-F7-G7</f>
        <v>8546.81</v>
      </c>
      <c r="E7" s="243"/>
      <c r="F7" s="255">
        <f>'DOE25'!J203+'DOE25'!J221+'DOE25'!J239</f>
        <v>1577.75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47771.23</v>
      </c>
      <c r="D8" s="243"/>
      <c r="E8" s="20">
        <f>'DOE25'!L204+'DOE25'!L222+'DOE25'!L240-F8-G8-D9-D11</f>
        <v>43822.770000000004</v>
      </c>
      <c r="F8" s="255">
        <f>'DOE25'!J204+'DOE25'!J222+'DOE25'!J240</f>
        <v>0</v>
      </c>
      <c r="G8" s="53">
        <f>'DOE25'!K204+'DOE25'!K222+'DOE25'!K240</f>
        <v>3948.46</v>
      </c>
      <c r="H8" s="259"/>
    </row>
    <row r="9" spans="1:9" x14ac:dyDescent="0.2">
      <c r="A9" s="32">
        <v>2310</v>
      </c>
      <c r="B9" t="s">
        <v>818</v>
      </c>
      <c r="C9" s="245">
        <f t="shared" si="0"/>
        <v>19497.599999999999</v>
      </c>
      <c r="D9" s="244">
        <v>19497.599999999999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29837.77</v>
      </c>
      <c r="D11" s="244">
        <v>29837.77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195641.58000000002</v>
      </c>
      <c r="D12" s="20">
        <f>'DOE25'!L205+'DOE25'!L223+'DOE25'!L241-F12-G12</f>
        <v>195129.67</v>
      </c>
      <c r="E12" s="243"/>
      <c r="F12" s="255">
        <f>'DOE25'!J205+'DOE25'!J223+'DOE25'!J241</f>
        <v>0</v>
      </c>
      <c r="G12" s="53">
        <f>'DOE25'!K205+'DOE25'!K223+'DOE25'!K241</f>
        <v>511.91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150</v>
      </c>
      <c r="D13" s="243"/>
      <c r="E13" s="20">
        <f>'DOE25'!L206+'DOE25'!L224+'DOE25'!L242-F13-G13</f>
        <v>150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221052.97999999998</v>
      </c>
      <c r="D14" s="20">
        <f>'DOE25'!L207+'DOE25'!L225+'DOE25'!L243-F14-G14</f>
        <v>221052.97999999998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129194.55</v>
      </c>
      <c r="D15" s="20">
        <f>'DOE25'!L208+'DOE25'!L226+'DOE25'!L244-F15-G15</f>
        <v>129194.55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25.25</v>
      </c>
      <c r="D19" s="20">
        <f>'DOE25'!L253-F19-G19</f>
        <v>25.25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55123.02</v>
      </c>
      <c r="D22" s="243"/>
      <c r="E22" s="243"/>
      <c r="F22" s="255">
        <f>'DOE25'!L255+'DOE25'!L336</f>
        <v>55123.02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65552</v>
      </c>
      <c r="D29" s="20">
        <f>'DOE25'!L358+'DOE25'!L359+'DOE25'!L360-'DOE25'!I367-F29-G29</f>
        <v>65552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156322.32999999999</v>
      </c>
      <c r="D31" s="20">
        <f>'DOE25'!L290+'DOE25'!L309+'DOE25'!L328+'DOE25'!L333+'DOE25'!L334+'DOE25'!L335-F31-G31</f>
        <v>129690.36</v>
      </c>
      <c r="E31" s="243"/>
      <c r="F31" s="255">
        <f>'DOE25'!J290+'DOE25'!J309+'DOE25'!J328+'DOE25'!J333+'DOE25'!J334+'DOE25'!J335</f>
        <v>20106.48</v>
      </c>
      <c r="G31" s="53">
        <f>'DOE25'!K290+'DOE25'!K309+'DOE25'!K328+'DOE25'!K333+'DOE25'!K334+'DOE25'!K335</f>
        <v>6525.49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2433578.8499999996</v>
      </c>
      <c r="E33" s="246">
        <f>SUM(E5:E31)</f>
        <v>47972.770000000004</v>
      </c>
      <c r="F33" s="246">
        <f>SUM(F5:F31)</f>
        <v>95876.89</v>
      </c>
      <c r="G33" s="246">
        <f>SUM(G5:G31)</f>
        <v>16968.440000000002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47972.770000000004</v>
      </c>
      <c r="E35" s="249"/>
    </row>
    <row r="36" spans="2:8" ht="12" thickTop="1" x14ac:dyDescent="0.2">
      <c r="B36" t="s">
        <v>815</v>
      </c>
      <c r="D36" s="20">
        <f>D33</f>
        <v>2433578.8499999996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Rumney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177201.83</v>
      </c>
      <c r="D8" s="95">
        <f>'DOE25'!G9</f>
        <v>-10339.5</v>
      </c>
      <c r="E8" s="95">
        <f>'DOE25'!H9</f>
        <v>-31802.13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627985.44999999995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16978.259999999998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21245.03</v>
      </c>
      <c r="D12" s="95">
        <f>'DOE25'!G13</f>
        <v>7617.11</v>
      </c>
      <c r="E12" s="95">
        <f>'DOE25'!H13</f>
        <v>40143.480000000003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2489.36</v>
      </c>
      <c r="D13" s="95">
        <f>'DOE25'!G14</f>
        <v>3892.05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217914.47999999998</v>
      </c>
      <c r="D18" s="41">
        <f>SUM(D8:D17)</f>
        <v>1169.6599999999999</v>
      </c>
      <c r="E18" s="41">
        <f>SUM(E8:E17)</f>
        <v>8341.3500000000022</v>
      </c>
      <c r="F18" s="41">
        <f>SUM(F8:F17)</f>
        <v>0</v>
      </c>
      <c r="G18" s="41">
        <f>SUM(G8:G17)</f>
        <v>627985.44999999995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33594.620000000003</v>
      </c>
      <c r="D23" s="95">
        <f>'DOE25'!G24</f>
        <v>0</v>
      </c>
      <c r="E23" s="95">
        <f>'DOE25'!H24</f>
        <v>8341.35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33594.620000000003</v>
      </c>
      <c r="D31" s="41">
        <f>SUM(D21:D30)</f>
        <v>0</v>
      </c>
      <c r="E31" s="41">
        <f>SUM(E21:E30)</f>
        <v>8341.35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47237.87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627985.44999999995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1169.6600000000001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62081.99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184319.86</v>
      </c>
      <c r="D50" s="41">
        <f>SUM(D34:D49)</f>
        <v>1169.6600000000001</v>
      </c>
      <c r="E50" s="41">
        <f>SUM(E34:E49)</f>
        <v>0</v>
      </c>
      <c r="F50" s="41">
        <f>SUM(F34:F49)</f>
        <v>0</v>
      </c>
      <c r="G50" s="41">
        <f>SUM(G34:G49)</f>
        <v>627985.44999999995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217914.47999999998</v>
      </c>
      <c r="D51" s="41">
        <f>D50+D31</f>
        <v>1169.6600000000001</v>
      </c>
      <c r="E51" s="41">
        <f>E50+E31</f>
        <v>8341.35</v>
      </c>
      <c r="F51" s="41">
        <f>F50+F31</f>
        <v>0</v>
      </c>
      <c r="G51" s="41">
        <f>G50+G31</f>
        <v>627985.44999999995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1874563.26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813.05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1156.74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17080.75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16777.919999999998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17590.969999999998</v>
      </c>
      <c r="D62" s="130">
        <f>SUM(D57:D61)</f>
        <v>17080.75</v>
      </c>
      <c r="E62" s="130">
        <f>SUM(E57:E61)</f>
        <v>0</v>
      </c>
      <c r="F62" s="130">
        <f>SUM(F57:F61)</f>
        <v>0</v>
      </c>
      <c r="G62" s="130">
        <f>SUM(G57:G61)</f>
        <v>1156.74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1892154.23</v>
      </c>
      <c r="D63" s="22">
        <f>D56+D62</f>
        <v>17080.75</v>
      </c>
      <c r="E63" s="22">
        <f>E56+E62</f>
        <v>0</v>
      </c>
      <c r="F63" s="22">
        <f>F56+F62</f>
        <v>0</v>
      </c>
      <c r="G63" s="22">
        <f>G56+G62</f>
        <v>1156.74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455623.67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262786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718409.66999999993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722.97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722.97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718409.66999999993</v>
      </c>
      <c r="D81" s="130">
        <f>SUM(D79:D80)+D78+D70</f>
        <v>722.97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38562.44</v>
      </c>
      <c r="D88" s="95">
        <f>SUM('DOE25'!G153:G161)</f>
        <v>35296.21</v>
      </c>
      <c r="E88" s="95">
        <f>SUM('DOE25'!H153:H161)</f>
        <v>156322.33000000002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6419.79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44982.23</v>
      </c>
      <c r="D91" s="131">
        <f>SUM(D85:D90)</f>
        <v>35296.21</v>
      </c>
      <c r="E91" s="131">
        <f>SUM(E85:E90)</f>
        <v>156322.33000000002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3435.71</v>
      </c>
      <c r="E96" s="95">
        <f>'DOE25'!H179</f>
        <v>0</v>
      </c>
      <c r="F96" s="95">
        <f>'DOE25'!I179</f>
        <v>0</v>
      </c>
      <c r="G96" s="95">
        <f>'DOE25'!J179</f>
        <v>210393.75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3435.71</v>
      </c>
      <c r="E103" s="86">
        <f>SUM(E93:E102)</f>
        <v>0</v>
      </c>
      <c r="F103" s="86">
        <f>SUM(F93:F102)</f>
        <v>0</v>
      </c>
      <c r="G103" s="86">
        <f>SUM(G93:G102)</f>
        <v>210393.75</v>
      </c>
    </row>
    <row r="104" spans="1:7" ht="12.75" thickTop="1" thickBot="1" x14ac:dyDescent="0.25">
      <c r="A104" s="33" t="s">
        <v>765</v>
      </c>
      <c r="C104" s="86">
        <f>C63+C81+C91+C103</f>
        <v>2655546.13</v>
      </c>
      <c r="D104" s="86">
        <f>D63+D81+D91+D103</f>
        <v>56535.64</v>
      </c>
      <c r="E104" s="86">
        <f>E63+E81+E91+E103</f>
        <v>156322.33000000002</v>
      </c>
      <c r="F104" s="86">
        <f>F63+F81+F91+F103</f>
        <v>0</v>
      </c>
      <c r="G104" s="86">
        <f>G63+G81+G103</f>
        <v>211550.49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920662.61</v>
      </c>
      <c r="D109" s="24" t="s">
        <v>289</v>
      </c>
      <c r="E109" s="95">
        <f>('DOE25'!L276)+('DOE25'!L295)+('DOE25'!L314)</f>
        <v>100534.54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411712.86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81035.400000000009</v>
      </c>
      <c r="D112" s="24" t="s">
        <v>289</v>
      </c>
      <c r="E112" s="95">
        <f>+('DOE25'!L279)+('DOE25'!L298)+('DOE25'!L317)</f>
        <v>19208.34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25.25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1413436.1199999999</v>
      </c>
      <c r="D115" s="86">
        <f>SUM(D109:D114)</f>
        <v>0</v>
      </c>
      <c r="E115" s="86">
        <f>SUM(E109:E114)</f>
        <v>119742.87999999999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246693.21000000002</v>
      </c>
      <c r="D118" s="24" t="s">
        <v>289</v>
      </c>
      <c r="E118" s="95">
        <f>+('DOE25'!L281)+('DOE25'!L300)+('DOE25'!L319)</f>
        <v>895.13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10124.56</v>
      </c>
      <c r="D119" s="24" t="s">
        <v>289</v>
      </c>
      <c r="E119" s="95">
        <f>+('DOE25'!L282)+('DOE25'!L301)+('DOE25'!L320)</f>
        <v>23925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97106.6</v>
      </c>
      <c r="D120" s="24" t="s">
        <v>289</v>
      </c>
      <c r="E120" s="95">
        <f>+('DOE25'!L283)+('DOE25'!L302)+('DOE25'!L321)</f>
        <v>5223.13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195641.58000000002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150</v>
      </c>
      <c r="D122" s="24" t="s">
        <v>289</v>
      </c>
      <c r="E122" s="95">
        <f>+('DOE25'!L285)+('DOE25'!L304)+('DOE25'!L323)</f>
        <v>2036.19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221052.97999999998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129194.55</v>
      </c>
      <c r="D124" s="24" t="s">
        <v>289</v>
      </c>
      <c r="E124" s="95">
        <f>+('DOE25'!L287)+('DOE25'!L306)+('DOE25'!L325)</f>
        <v>4500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65552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899963.48</v>
      </c>
      <c r="D128" s="86">
        <f>SUM(D118:D127)</f>
        <v>65552</v>
      </c>
      <c r="E128" s="86">
        <f>SUM(E118:E127)</f>
        <v>36579.449999999997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55123.02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3435.71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14.64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211535.84999999998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-1156.7399999999907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268952.48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2582352.0799999996</v>
      </c>
      <c r="D145" s="86">
        <f>(D115+D128+D144)</f>
        <v>65552</v>
      </c>
      <c r="E145" s="86">
        <f>(E115+E128+E144)</f>
        <v>156322.32999999999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Rumney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23483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23483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1021197</v>
      </c>
      <c r="D10" s="182">
        <f>ROUND((C10/$C$28)*100,1)</f>
        <v>40.6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411713</v>
      </c>
      <c r="D11" s="182">
        <f>ROUND((C11/$C$28)*100,1)</f>
        <v>16.3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100244</v>
      </c>
      <c r="D13" s="182">
        <f>ROUND((C13/$C$28)*100,1)</f>
        <v>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247588</v>
      </c>
      <c r="D15" s="182">
        <f t="shared" ref="D15:D27" si="0">ROUND((C15/$C$28)*100,1)</f>
        <v>9.8000000000000007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34050</v>
      </c>
      <c r="D16" s="182">
        <f t="shared" si="0"/>
        <v>1.4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102330</v>
      </c>
      <c r="D17" s="182">
        <f t="shared" si="0"/>
        <v>4.0999999999999996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195642</v>
      </c>
      <c r="D18" s="182">
        <f t="shared" si="0"/>
        <v>7.8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2186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221053</v>
      </c>
      <c r="D20" s="182">
        <f t="shared" si="0"/>
        <v>8.8000000000000007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133695</v>
      </c>
      <c r="D21" s="182">
        <f t="shared" si="0"/>
        <v>5.3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25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48471.25</v>
      </c>
      <c r="D27" s="182">
        <f t="shared" si="0"/>
        <v>1.9</v>
      </c>
    </row>
    <row r="28" spans="1:4" x14ac:dyDescent="0.2">
      <c r="B28" s="187" t="s">
        <v>723</v>
      </c>
      <c r="C28" s="180">
        <f>SUM(C10:C27)</f>
        <v>2518194.25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55123</v>
      </c>
    </row>
    <row r="30" spans="1:4" x14ac:dyDescent="0.2">
      <c r="B30" s="187" t="s">
        <v>729</v>
      </c>
      <c r="C30" s="180">
        <f>SUM(C28:C29)</f>
        <v>2573317.25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1874563</v>
      </c>
      <c r="D35" s="182">
        <f t="shared" ref="D35:D40" si="1">ROUND((C35/$C$41)*100,1)</f>
        <v>65.8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18747.969999999972</v>
      </c>
      <c r="D36" s="182">
        <f t="shared" si="1"/>
        <v>0.7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718410</v>
      </c>
      <c r="D37" s="182">
        <f t="shared" si="1"/>
        <v>25.2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723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236601</v>
      </c>
      <c r="D39" s="182">
        <f t="shared" si="1"/>
        <v>8.3000000000000007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2849044.9699999997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B51" sqref="B5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Rumney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2016-08-22T12:01:34Z</cp:lastPrinted>
  <dcterms:created xsi:type="dcterms:W3CDTF">1997-12-04T19:04:30Z</dcterms:created>
  <dcterms:modified xsi:type="dcterms:W3CDTF">2016-08-22T12:01:38Z</dcterms:modified>
</cp:coreProperties>
</file>