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E16" i="13" s="1"/>
  <c r="C16" i="13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C112" i="2" s="1"/>
  <c r="F6" i="13"/>
  <c r="G6" i="13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C15" i="10" s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C119" i="2"/>
  <c r="E120" i="2"/>
  <c r="E121" i="2"/>
  <c r="C122" i="2"/>
  <c r="E122" i="2"/>
  <c r="E123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H460" i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1" i="1"/>
  <c r="H641" i="1"/>
  <c r="G643" i="1"/>
  <c r="H643" i="1"/>
  <c r="J643" i="1" s="1"/>
  <c r="G644" i="1"/>
  <c r="H644" i="1"/>
  <c r="J644" i="1" s="1"/>
  <c r="G645" i="1"/>
  <c r="G649" i="1"/>
  <c r="J649" i="1" s="1"/>
  <c r="G650" i="1"/>
  <c r="G651" i="1"/>
  <c r="G652" i="1"/>
  <c r="H652" i="1"/>
  <c r="G653" i="1"/>
  <c r="H653" i="1"/>
  <c r="G654" i="1"/>
  <c r="H654" i="1"/>
  <c r="H655" i="1"/>
  <c r="J655" i="1" s="1"/>
  <c r="F192" i="1"/>
  <c r="K257" i="1"/>
  <c r="C26" i="10"/>
  <c r="L328" i="1"/>
  <c r="L351" i="1"/>
  <c r="A31" i="12"/>
  <c r="C70" i="2"/>
  <c r="D18" i="13"/>
  <c r="C18" i="13" s="1"/>
  <c r="D15" i="13"/>
  <c r="C15" i="13" s="1"/>
  <c r="D17" i="13"/>
  <c r="C17" i="13" s="1"/>
  <c r="D6" i="13"/>
  <c r="C6" i="13" s="1"/>
  <c r="C91" i="2"/>
  <c r="F78" i="2"/>
  <c r="F81" i="2" s="1"/>
  <c r="C78" i="2"/>
  <c r="C81" i="2" s="1"/>
  <c r="G157" i="2"/>
  <c r="F18" i="2"/>
  <c r="E103" i="2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I476" i="1"/>
  <c r="H625" i="1" s="1"/>
  <c r="J625" i="1" s="1"/>
  <c r="G476" i="1"/>
  <c r="H623" i="1" s="1"/>
  <c r="J623" i="1" s="1"/>
  <c r="G338" i="1"/>
  <c r="G352" i="1" s="1"/>
  <c r="F169" i="1"/>
  <c r="J140" i="1"/>
  <c r="K550" i="1"/>
  <c r="G22" i="2"/>
  <c r="K545" i="1"/>
  <c r="J552" i="1"/>
  <c r="C29" i="10"/>
  <c r="H140" i="1"/>
  <c r="L393" i="1"/>
  <c r="F22" i="13"/>
  <c r="C22" i="13" s="1"/>
  <c r="H25" i="13"/>
  <c r="C25" i="13" s="1"/>
  <c r="J651" i="1"/>
  <c r="H571" i="1"/>
  <c r="L560" i="1"/>
  <c r="F338" i="1"/>
  <c r="F352" i="1" s="1"/>
  <c r="G192" i="1"/>
  <c r="H192" i="1"/>
  <c r="C35" i="10"/>
  <c r="L309" i="1"/>
  <c r="L570" i="1"/>
  <c r="I571" i="1"/>
  <c r="J636" i="1"/>
  <c r="G36" i="2"/>
  <c r="C138" i="2"/>
  <c r="C18" i="2" l="1"/>
  <c r="J476" i="1"/>
  <c r="H626" i="1" s="1"/>
  <c r="K271" i="1"/>
  <c r="L256" i="1"/>
  <c r="A40" i="12"/>
  <c r="A13" i="12"/>
  <c r="F476" i="1"/>
  <c r="H622" i="1" s="1"/>
  <c r="I662" i="1"/>
  <c r="H647" i="1"/>
  <c r="J647" i="1" s="1"/>
  <c r="H552" i="1"/>
  <c r="K598" i="1"/>
  <c r="G647" i="1" s="1"/>
  <c r="K551" i="1"/>
  <c r="L539" i="1"/>
  <c r="J545" i="1"/>
  <c r="I545" i="1"/>
  <c r="L534" i="1"/>
  <c r="K549" i="1"/>
  <c r="K552" i="1" s="1"/>
  <c r="G545" i="1"/>
  <c r="L524" i="1"/>
  <c r="J338" i="1"/>
  <c r="J352" i="1" s="1"/>
  <c r="C20" i="10"/>
  <c r="E128" i="2"/>
  <c r="E109" i="2"/>
  <c r="E115" i="2" s="1"/>
  <c r="L290" i="1"/>
  <c r="C16" i="10"/>
  <c r="H33" i="13"/>
  <c r="I257" i="1"/>
  <c r="I271" i="1" s="1"/>
  <c r="C124" i="2"/>
  <c r="L247" i="1"/>
  <c r="H660" i="1" s="1"/>
  <c r="J257" i="1"/>
  <c r="J271" i="1" s="1"/>
  <c r="H257" i="1"/>
  <c r="H271" i="1" s="1"/>
  <c r="G257" i="1"/>
  <c r="G271" i="1" s="1"/>
  <c r="F257" i="1"/>
  <c r="F271" i="1" s="1"/>
  <c r="C11" i="10"/>
  <c r="D7" i="13"/>
  <c r="C7" i="13" s="1"/>
  <c r="D5" i="13"/>
  <c r="C5" i="13" s="1"/>
  <c r="D14" i="13"/>
  <c r="C14" i="13" s="1"/>
  <c r="D12" i="13"/>
  <c r="C12" i="13" s="1"/>
  <c r="C17" i="10"/>
  <c r="C123" i="2"/>
  <c r="E8" i="13"/>
  <c r="C8" i="13" s="1"/>
  <c r="C120" i="2"/>
  <c r="C121" i="2"/>
  <c r="C110" i="2"/>
  <c r="C115" i="2" s="1"/>
  <c r="L211" i="1"/>
  <c r="J645" i="1"/>
  <c r="C62" i="2"/>
  <c r="C63" i="2"/>
  <c r="C104" i="2" s="1"/>
  <c r="K500" i="1"/>
  <c r="I460" i="1"/>
  <c r="J640" i="1"/>
  <c r="I452" i="1"/>
  <c r="I461" i="1" s="1"/>
  <c r="H642" i="1" s="1"/>
  <c r="I446" i="1"/>
  <c r="G642" i="1" s="1"/>
  <c r="J634" i="1"/>
  <c r="F661" i="1"/>
  <c r="I661" i="1" s="1"/>
  <c r="H661" i="1"/>
  <c r="D127" i="2"/>
  <c r="D128" i="2" s="1"/>
  <c r="D145" i="2" s="1"/>
  <c r="L362" i="1"/>
  <c r="C27" i="10" s="1"/>
  <c r="J622" i="1"/>
  <c r="D31" i="2"/>
  <c r="D51" i="2" s="1"/>
  <c r="J617" i="1"/>
  <c r="H52" i="1"/>
  <c r="H619" i="1" s="1"/>
  <c r="J619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E104" i="2"/>
  <c r="I663" i="1"/>
  <c r="G635" i="1"/>
  <c r="J635" i="1" s="1"/>
  <c r="J642" i="1" l="1"/>
  <c r="H648" i="1"/>
  <c r="J648" i="1" s="1"/>
  <c r="L545" i="1"/>
  <c r="D31" i="13"/>
  <c r="C31" i="13" s="1"/>
  <c r="F660" i="1"/>
  <c r="F664" i="1" s="1"/>
  <c r="F667" i="1" s="1"/>
  <c r="H664" i="1"/>
  <c r="H667" i="1" s="1"/>
  <c r="C28" i="10"/>
  <c r="D23" i="10" s="1"/>
  <c r="C128" i="2"/>
  <c r="C145" i="2" s="1"/>
  <c r="E33" i="13"/>
  <c r="D35" i="13" s="1"/>
  <c r="L257" i="1"/>
  <c r="L271" i="1" s="1"/>
  <c r="G632" i="1" s="1"/>
  <c r="J632" i="1" s="1"/>
  <c r="G104" i="2"/>
  <c r="H646" i="1"/>
  <c r="J646" i="1" s="1"/>
  <c r="G667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F672" i="1" l="1"/>
  <c r="C4" i="10" s="1"/>
  <c r="I660" i="1"/>
  <c r="I664" i="1" s="1"/>
  <c r="I672" i="1" s="1"/>
  <c r="C7" i="10" s="1"/>
  <c r="H672" i="1"/>
  <c r="C6" i="10" s="1"/>
  <c r="D13" i="10"/>
  <c r="D11" i="10"/>
  <c r="D25" i="10"/>
  <c r="D12" i="10"/>
  <c r="D18" i="10"/>
  <c r="D19" i="10"/>
  <c r="D20" i="10"/>
  <c r="D17" i="10"/>
  <c r="D22" i="10"/>
  <c r="D27" i="10"/>
  <c r="D15" i="10"/>
  <c r="D21" i="10"/>
  <c r="D24" i="10"/>
  <c r="D10" i="10"/>
  <c r="D26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<sst xmlns="http://schemas.openxmlformats.org/spreadsheetml/2006/main" count="3957" uniqueCount="915">
  <si>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</si>
  <si>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</si>
  <si>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</si>
  <si>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</si>
  <si>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</si>
  <si>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</si>
  <si>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</si>
  <si>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</si>
  <si>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</si>
  <si>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</si>
  <si>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</si>
  <si>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</si>
  <si>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</si>
  <si>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</si>
  <si>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</si>
  <si>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</si>
  <si>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</si>
  <si>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</si>
  <si>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</si>
  <si>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</si>
  <si>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</si>
  <si>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</si>
  <si>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</si>
  <si>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</si>
  <si>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</si>
  <si>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</si>
  <si>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</si>
  <si>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</si>
  <si>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</si>
  <si>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</si>
  <si>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</si>
  <si>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</si>
  <si>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</si>
  <si>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</si>
  <si>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</si>
  <si>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</si>
  <si>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</si>
  <si>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</si>
  <si>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</si>
  <si>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</si>
  <si>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</si>
  <si>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</si>
  <si>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</si>
  <si>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</si>
  <si>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</si>
  <si>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</si>
  <si>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</si>
  <si>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</si>
  <si>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</si>
  <si>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</si>
  <si>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</si>
  <si>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</si>
  <si>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</si>
  <si>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</si>
  <si>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</si>
  <si>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</si>
  <si>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</si>
  <si>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</si>
  <si>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</si>
  <si>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</si>
  <si>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</si>
  <si>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</si>
  <si>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</si>
  <si>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</si>
  <si>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</si>
  <si>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</si>
  <si>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</si>
  <si>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</si>
  <si>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</si>
  <si>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</si>
  <si>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</si>
  <si>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</si>
  <si>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</si>
  <si>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</si>
  <si>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</si>
  <si>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</si>
  <si>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</si>
  <si>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</si>
  <si>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</si>
  <si>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</si>
  <si>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</si>
  <si>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</si>
  <si>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</si>
  <si>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</si>
  <si>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</si>
  <si>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</si>
  <si>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</si>
  <si>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</si>
  <si>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</si>
  <si>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</si>
  <si>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</si>
  <si>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</si>
  <si>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</si>
  <si>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</si>
  <si>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</si>
  <si>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</si>
  <si>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</si>
  <si>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</si>
  <si>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</si>
  <si>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</si>
  <si>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</si>
  <si>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</si>
  <si>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</si>
  <si>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</si>
  <si>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</si>
  <si>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</si>
  <si>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</si>
  <si>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</si>
  <si>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</si>
  <si>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</si>
  <si>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</si>
  <si>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</si>
  <si>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</si>
  <si>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</si>
  <si>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</si>
  <si>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</si>
  <si>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</si>
  <si>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</si>
  <si>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</si>
  <si>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</si>
  <si>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</si>
  <si>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</si>
  <si>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</si>
  <si>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</si>
  <si>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</si>
  <si>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</si>
  <si>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</si>
  <si>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</si>
  <si>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</si>
  <si>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</si>
  <si>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</si>
  <si>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</si>
  <si>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</si>
  <si>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</si>
  <si>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</si>
  <si>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</si>
  <si>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</si>
  <si>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</si>
  <si>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</si>
  <si>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</si>
  <si>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</si>
  <si>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</si>
  <si>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</si>
  <si>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</si>
  <si>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</si>
  <si>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</si>
  <si>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</si>
  <si>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</si>
  <si>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</si>
  <si>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</si>
  <si>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</si>
  <si>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</si>
  <si>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</si>
  <si>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</si>
  <si>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</si>
  <si>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</si>
  <si>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</si>
  <si>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</si>
  <si>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</si>
  <si>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</si>
  <si>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</si>
  <si>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</si>
  <si>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</si>
  <si>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</si>
  <si>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</si>
  <si>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</si>
  <si>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</si>
  <si>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</si>
  <si>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</si>
  <si>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</si>
  <si>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</si>
  <si>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</si>
  <si>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</si>
  <si>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</si>
  <si>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</si>
  <si>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</si>
  <si>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</si>
  <si>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</si>
  <si>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</si>
  <si>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</si>
  <si>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</si>
  <si>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</si>
  <si>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</si>
  <si>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</si>
  <si>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</si>
  <si>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</si>
  <si>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</si>
  <si>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</si>
  <si>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</si>
  <si>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</si>
  <si>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</si>
  <si>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</si>
  <si>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</si>
  <si>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</si>
  <si>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</si>
  <si>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</si>
  <si>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</si>
  <si>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</si>
  <si>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</si>
  <si>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</si>
  <si>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</si>
  <si>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</si>
  <si>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</si>
  <si>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</si>
  <si>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</si>
  <si>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</si>
  <si>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</si>
  <si>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</si>
  <si>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</si>
  <si>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</si>
  <si>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</si>
  <si>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</si>
  <si>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</si>
  <si>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</si>
  <si>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</si>
  <si>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</si>
  <si>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</si>
  <si>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</si>
  <si>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</si>
  <si>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</si>
  <si>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</si>
  <si>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</si>
  <si>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</si>
  <si>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</si>
  <si>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</si>
  <si>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</si>
  <si>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</si>
  <si>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</si>
  <si>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</si>
  <si>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</si>
  <si>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</si>
  <si>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</si>
  <si>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</si>
  <si>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</si>
  <si>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</si>
  <si>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</si>
  <si>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</si>
  <si>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</si>
  <si>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</si>
  <si>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</si>
  <si>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</si>
  <si>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</si>
  <si>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</si>
  <si>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</si>
  <si>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</si>
  <si>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</si>
  <si>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</si>
  <si>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</si>
  <si>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</si>
  <si>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</si>
  <si>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</si>
  <si>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</si>
  <si>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</si>
  <si>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</si>
  <si>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</si>
  <si>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</si>
  <si>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</si>
  <si>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</si>
  <si>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</si>
  <si>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</si>
  <si>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</si>
  <si>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</si>
  <si>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</si>
  <si>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</si>
  <si>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</si>
  <si>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</si>
  <si>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</si>
  <si>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</si>
  <si>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</si>
  <si>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</si>
  <si>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</si>
  <si>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</si>
  <si>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</si>
  <si>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</si>
  <si>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</si>
  <si>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</si>
  <si>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</si>
  <si>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</si>
  <si>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</si>
  <si>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</si>
  <si>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</si>
  <si>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</si>
  <si>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</si>
  <si>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</si>
  <si>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</si>
  <si>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</si>
  <si>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</si>
  <si>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</si>
  <si>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</si>
  <si>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</si>
  <si>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</si>
  <si>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</si>
  <si>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</si>
  <si>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</si>
  <si>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</si>
  <si>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</si>
  <si>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</si>
  <si>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</si>
  <si>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</si>
  <si>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</si>
  <si>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</si>
  <si>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</si>
  <si>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</si>
  <si>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</si>
  <si>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</si>
  <si>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</si>
  <si>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</si>
  <si>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</si>
  <si>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</si>
  <si>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</si>
  <si>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</si>
  <si>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</si>
  <si>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</si>
  <si>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</si>
  <si>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</si>
  <si>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</si>
  <si>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</si>
  <si>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</si>
  <si>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</si>
  <si>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</si>
  <si>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</si>
  <si>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</si>
  <si>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</si>
  <si>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</si>
  <si>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</si>
  <si>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</si>
  <si>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</si>
  <si>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</si>
  <si>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</si>
  <si>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</si>
  <si>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</si>
  <si>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</si>
  <si>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</si>
  <si>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</si>
  <si>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</si>
  <si>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</si>
  <si>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</si>
  <si>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</si>
  <si>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</si>
  <si>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</si>
  <si>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</si>
  <si>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</si>
  <si>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</si>
  <si>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</si>
  <si>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</si>
  <si>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</si>
  <si>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</si>
  <si>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</si>
  <si>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</si>
  <si>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</si>
  <si>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</si>
  <si>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</si>
  <si>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</si>
  <si>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</si>
  <si>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</si>
  <si>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</si>
  <si>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</si>
  <si>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</si>
  <si>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</si>
  <si>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</si>
  <si>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</si>
  <si>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</si>
  <si>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</si>
  <si>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</si>
  <si>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</si>
  <si>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</si>
  <si>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</si>
  <si>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</si>
  <si>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</si>
  <si>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</si>
  <si>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</si>
  <si>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</si>
  <si>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</si>
  <si>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</si>
  <si>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</si>
  <si>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</si>
  <si>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</si>
  <si>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</si>
  <si>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</si>
  <si>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</si>
  <si>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</si>
  <si>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</si>
  <si>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</si>
  <si>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</si>
  <si>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</si>
  <si>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</si>
  <si>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</si>
  <si>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</si>
  <si>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</si>
  <si>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</si>
  <si>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</si>
  <si>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</si>
  <si>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</si>
  <si>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</si>
  <si>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</si>
  <si>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</si>
  <si>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</si>
  <si>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</si>
  <si>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</si>
  <si>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</si>
  <si>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</si>
  <si>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</si>
  <si>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</si>
  <si>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</si>
  <si>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</si>
  <si>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</si>
  <si>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</si>
  <si>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</si>
  <si>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</si>
  <si>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</si>
  <si>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</si>
  <si>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</si>
  <si>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</si>
  <si>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</si>
  <si>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</si>
  <si>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</si>
  <si>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</si>
  <si>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</si>
  <si>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</si>
  <si>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</si>
  <si>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</si>
  <si>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</si>
  <si>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</si>
  <si>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</si>
  <si>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</si>
  <si>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</si>
  <si>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</si>
  <si>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</si>
  <si>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</si>
  <si>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</si>
  <si>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</si>
  <si>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</si>
  <si>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</si>
  <si>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</si>
  <si>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</si>
  <si>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</si>
  <si>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</si>
  <si>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</si>
  <si>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</si>
  <si>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</si>
  <si>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</si>
  <si>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</si>
  <si>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</si>
  <si>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</si>
  <si>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</si>
  <si>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</si>
  <si>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</si>
  <si>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</si>
  <si>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</si>
  <si>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</si>
  <si>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</si>
  <si>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</si>
  <si>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</si>
  <si>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</si>
  <si>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</si>
  <si>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</si>
  <si>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</si>
  <si>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</si>
  <si>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</si>
  <si>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</si>
  <si>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</si>
  <si>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</si>
  <si>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</si>
  <si>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</si>
  <si>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</si>
  <si>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</si>
  <si>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</si>
  <si>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</si>
  <si>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</si>
  <si>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</si>
  <si>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</si>
  <si>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</si>
  <si>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</si>
  <si>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</si>
  <si>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</si>
  <si>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</si>
  <si>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</si>
  <si>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</si>
  <si>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</si>
  <si>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</si>
  <si>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</si>
  <si>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</si>
  <si>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</si>
  <si>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</si>
  <si>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</si>
  <si>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</si>
  <si>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</si>
  <si>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</si>
  <si>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</si>
  <si>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</si>
  <si>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</si>
  <si>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</si>
  <si>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</si>
  <si>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</si>
  <si>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</si>
  <si>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</si>
  <si>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</si>
  <si>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</si>
  <si>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</si>
  <si>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</si>
  <si>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</si>
  <si>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</si>
  <si>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</si>
  <si>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</si>
  <si>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</si>
  <si>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</si>
  <si>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</si>
  <si>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</si>
  <si>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</si>
  <si>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</si>
  <si>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</si>
  <si>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</si>
  <si>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</si>
  <si>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</si>
  <si>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</si>
  <si>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</si>
  <si>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</si>
  <si>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</si>
  <si>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</si>
  <si>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</si>
  <si>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</si>
  <si>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</si>
  <si>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</si>
  <si>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</si>
  <si>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</si>
  <si>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</si>
  <si>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</si>
  <si>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</si>
  <si>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</si>
  <si>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</si>
  <si>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</si>
  <si>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</si>
  <si>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</si>
  <si>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</si>
  <si>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</si>
  <si>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</si>
  <si>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</si>
  <si>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</si>
  <si>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</si>
  <si>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</si>
  <si>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</si>
  <si>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</si>
  <si>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</si>
  <si>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</si>
  <si>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</si>
  <si>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</si>
  <si>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</si>
  <si>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</si>
  <si>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</si>
  <si>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</si>
  <si>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</si>
  <si>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</si>
  <si>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</si>
  <si>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</si>
  <si>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</si>
  <si>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</si>
  <si>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</si>
  <si>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</si>
  <si>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</si>
  <si>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</si>
  <si>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</si>
  <si>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</si>
  <si>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</si>
  <si>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</si>
  <si>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</si>
  <si>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</si>
  <si>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</si>
  <si>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</si>
  <si>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</si>
  <si>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</si>
  <si>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</si>
  <si>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</si>
  <si>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</si>
  <si>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</si>
  <si>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</si>
  <si>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</si>
  <si>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</si>
  <si>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</si>
  <si>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</si>
  <si>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</si>
  <si>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</si>
  <si>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</si>
  <si>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</si>
  <si>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</si>
  <si>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</si>
  <si>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</si>
  <si>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</si>
  <si>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</si>
  <si>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</si>
  <si>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</si>
  <si>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</si>
  <si>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</si>
  <si>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</si>
  <si>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</si>
  <si>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</si>
  <si>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</si>
  <si>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</si>
  <si>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</si>
  <si>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</si>
  <si>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</si>
  <si>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</si>
  <si>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</si>
  <si>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</si>
  <si>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</si>
  <si>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</si>
  <si>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</si>
  <si>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</si>
  <si>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</si>
  <si>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</si>
  <si>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</si>
  <si>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</si>
  <si>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</si>
  <si>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</si>
  <si>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</si>
  <si>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</si>
  <si>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</si>
  <si>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</si>
  <si>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</si>
  <si>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</si>
  <si>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</si>
  <si>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</si>
  <si>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</si>
  <si>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</si>
  <si>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</si>
  <si>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</si>
  <si>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</si>
  <si>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</si>
  <si>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</si>
  <si>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</si>
  <si>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</si>
  <si>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</si>
  <si>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</si>
  <si>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</si>
  <si>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</si>
  <si>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</si>
  <si>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</si>
  <si>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</si>
  <si>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</si>
  <si>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</si>
  <si>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</si>
  <si>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</si>
  <si>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</si>
  <si>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</si>
  <si>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</si>
  <si>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</si>
  <si>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</si>
  <si>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</si>
  <si>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</si>
  <si>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</si>
  <si>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</si>
  <si>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</si>
  <si>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</si>
  <si>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</si>
  <si>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</si>
  <si>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</si>
  <si>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</si>
  <si>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</si>
  <si>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</si>
  <si>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</si>
  <si>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</si>
  <si>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</si>
  <si>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</si>
  <si>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</si>
  <si>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</si>
  <si>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</si>
  <si>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</si>
  <si>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</si>
  <si>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</si>
  <si>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</si>
  <si>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</si>
  <si>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</si>
  <si>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</si>
  <si>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</si>
  <si>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</si>
  <si>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</si>
  <si>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</si>
  <si>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</si>
  <si>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</si>
  <si>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</si>
  <si>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</si>
  <si>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</si>
  <si>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</si>
  <si>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</si>
  <si>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</si>
  <si>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</si>
  <si>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</si>
  <si>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</si>
  <si>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</si>
  <si>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</si>
  <si>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</si>
  <si>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</si>
  <si>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</si>
  <si>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</si>
  <si>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</si>
  <si>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</si>
  <si>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</si>
  <si>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</si>
  <si>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</si>
  <si>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</si>
  <si>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</si>
  <si>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</si>
  <si>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</si>
  <si>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</si>
  <si>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</si>
  <si>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</si>
  <si>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</si>
  <si>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</si>
  <si>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</si>
  <si>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</si>
  <si>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</si>
  <si>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</si>
  <si>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</si>
  <si>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</si>
  <si>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</si>
  <si>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</si>
  <si>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</si>
  <si>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</si>
  <si>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</si>
  <si>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</si>
  <si>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</si>
  <si>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</si>
  <si>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</si>
  <si>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</si>
  <si>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</si>
  <si>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</si>
  <si>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</si>
  <si>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</si>
  <si>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</si>
  <si>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</si>
  <si>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</si>
  <si>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</si>
  <si>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</si>
  <si>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</si>
  <si>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</si>
  <si>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</si>
  <si>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</si>
  <si>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</si>
  <si>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</si>
  <si>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</si>
  <si>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</si>
  <si>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</si>
  <si>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</si>
  <si>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</si>
  <si>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</si>
  <si>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</si>
  <si>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</si>
  <si>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</si>
  <si>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</si>
  <si>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</si>
  <si>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</si>
  <si>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</si>
  <si>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</si>
  <si>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</si>
  <si>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</si>
  <si>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</si>
  <si>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</si>
  <si>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</si>
  <si>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</si>
  <si>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</si>
  <si>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</si>
  <si>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</si>
  <si>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</si>
  <si>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</si>
  <si>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</si>
  <si>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</si>
  <si>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</si>
  <si>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</si>
  <si>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</si>
  <si>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</si>
  <si>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</si>
  <si>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</si>
  <si>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</si>
  <si>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</si>
  <si>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</si>
  <si>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</si>
  <si>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</si>
  <si>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</si>
  <si>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</si>
  <si>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</si>
  <si>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</si>
  <si>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</si>
  <si>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</si>
  <si>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</si>
  <si>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</si>
  <si>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</si>
  <si>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</si>
  <si>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</si>
  <si>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</si>
  <si>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</si>
  <si>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</si>
  <si>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</si>
  <si>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</si>
  <si>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</si>
  <si>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</si>
  <si>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</si>
  <si>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</si>
  <si>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</si>
  <si>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</si>
  <si>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</si>
  <si>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</si>
  <si>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</si>
  <si>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</si>
  <si>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</si>
  <si>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</si>
  <si>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</si>
  <si>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</si>
  <si>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</si>
  <si>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</si>
  <si>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</si>
  <si>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</si>
  <si>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</si>
  <si>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</si>
  <si>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</si>
  <si>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</si>
  <si>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</si>
  <si>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</si>
  <si>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</si>
  <si>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</si>
  <si>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</si>
  <si>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</si>
  <si>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</si>
  <si>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</si>
  <si>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</si>
  <si>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</si>
  <si>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</si>
  <si>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</si>
  <si>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</si>
  <si>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</si>
  <si>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</si>
  <si>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</si>
  <si>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</si>
  <si>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</si>
  <si>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</si>
  <si>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</si>
  <si>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</si>
  <si>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</si>
  <si>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</si>
  <si>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</si>
  <si>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</si>
  <si>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</si>
  <si>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</si>
  <si>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</si>
  <si>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</si>
  <si>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</si>
  <si>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</si>
  <si>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</si>
  <si>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</si>
  <si>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</si>
  <si>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</si>
  <si>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</si>
  <si>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</si>
  <si>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</si>
  <si>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</si>
  <si>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</si>
  <si>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</si>
  <si>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</si>
  <si>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</si>
  <si>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</si>
  <si>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</si>
  <si>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</si>
  <si>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</si>
  <si>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</si>
  <si>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</si>
  <si>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</si>
  <si>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</si>
  <si>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</si>
  <si>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</si>
  <si>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</si>
  <si>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</si>
  <si>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</si>
  <si>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</si>
  <si>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</si>
  <si>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</si>
  <si>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</si>
  <si>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</si>
  <si>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</si>
  <si>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</si>
  <si>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</si>
  <si>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</si>
  <si>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</si>
  <si>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</si>
  <si>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</si>
  <si>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</si>
  <si>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</si>
  <si>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</si>
  <si>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</si>
  <si>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</si>
  <si>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</si>
  <si>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</si>
  <si>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</si>
  <si>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</si>
  <si>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</si>
  <si>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</si>
  <si>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</si>
  <si>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</si>
  <si>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</si>
  <si>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</si>
  <si>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</si>
  <si>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</si>
  <si>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</si>
  <si>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</si>
  <si>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</si>
  <si>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</si>
  <si>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</si>
  <si>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</si>
  <si>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</si>
  <si>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</si>
  <si>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</si>
  <si>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</si>
  <si>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</si>
  <si>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</si>
  <si>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</si>
  <si>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RYE SCHOOL DISTRICT</t>
  </si>
  <si>
    <t>12/96</t>
  </si>
  <si>
    <t>01/17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</si>
</sst>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5" zoomScaleNormal="125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471</v>
      </c>
      <c r="C2" s="21">
        <v>471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2797898.31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71113.490000000005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13455.78</v>
      </c>
      <c r="G12" s="18">
        <v>2074.06</v>
      </c>
      <c r="H12" s="18">
        <v>63201.85</v>
      </c>
      <c r="I12" s="18"/>
      <c r="J12" s="67">
        <f>SUM(I441)</f>
        <v>37725.800000000003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10391.799999999999</v>
      </c>
      <c r="G13" s="18">
        <v>1493.74</v>
      </c>
      <c r="H13" s="18">
        <v>10947.45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68.989999999999995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1276.58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2821814.88</v>
      </c>
      <c r="G19" s="41">
        <f>SUM(G9:G18)</f>
        <v>4844.38</v>
      </c>
      <c r="H19" s="41">
        <f>SUM(H9:H18)</f>
        <v>74149.3</v>
      </c>
      <c r="I19" s="41">
        <f>SUM(I9:I18)</f>
        <v>0</v>
      </c>
      <c r="J19" s="41">
        <f>SUM(J9:J18)</f>
        <v>108839.29000000001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103001.71</v>
      </c>
      <c r="G22" s="18">
        <v>1226.58</v>
      </c>
      <c r="H22" s="18">
        <v>1515.2</v>
      </c>
      <c r="I22" s="18"/>
      <c r="J22" s="67">
        <f>SUM(I448)</f>
        <v>10714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1567364.76</v>
      </c>
      <c r="G23" s="18">
        <v>68.83</v>
      </c>
      <c r="H23" s="18">
        <v>480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159976.03</v>
      </c>
      <c r="G24" s="18">
        <v>2272.39</v>
      </c>
      <c r="H24" s="18">
        <v>1066.1199999999999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162744.48000000001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1993086.98</v>
      </c>
      <c r="G32" s="41">
        <f>SUM(G22:G31)</f>
        <v>3567.7999999999997</v>
      </c>
      <c r="H32" s="41">
        <f>SUM(H22:H31)</f>
        <v>3061.3199999999997</v>
      </c>
      <c r="I32" s="41">
        <f>SUM(I22:I31)</f>
        <v>0</v>
      </c>
      <c r="J32" s="41">
        <f>SUM(J22:J31)</f>
        <v>10714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1276.58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98125.29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318560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71087.98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450167.9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828727.9</v>
      </c>
      <c r="G51" s="41">
        <f>SUM(G35:G50)</f>
        <v>1276.58</v>
      </c>
      <c r="H51" s="41">
        <f>SUM(H35:H50)</f>
        <v>71087.98</v>
      </c>
      <c r="I51" s="41">
        <f>SUM(I35:I50)</f>
        <v>0</v>
      </c>
      <c r="J51" s="41">
        <f>SUM(J35:J50)</f>
        <v>98125.29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2821814.88</v>
      </c>
      <c r="G52" s="41">
        <f>G51+G32</f>
        <v>4844.3799999999992</v>
      </c>
      <c r="H52" s="41">
        <f>H51+H32</f>
        <v>74149.299999999988</v>
      </c>
      <c r="I52" s="41">
        <f>I51+I32</f>
        <v>0</v>
      </c>
      <c r="J52" s="41">
        <f>J51+J32</f>
        <v>108839.29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8157048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8157048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6499.8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158141.01999999999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164640.81999999998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871.82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120623.33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212778.8</v>
      </c>
      <c r="G102" s="18"/>
      <c r="H102" s="18">
        <v>116094.38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160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5470.7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218409.5</v>
      </c>
      <c r="G111" s="41">
        <f>SUM(G96:G110)</f>
        <v>120623.33</v>
      </c>
      <c r="H111" s="41">
        <f>SUM(H96:H110)</f>
        <v>116094.38</v>
      </c>
      <c r="I111" s="41">
        <f>SUM(I96:I110)</f>
        <v>0</v>
      </c>
      <c r="J111" s="41">
        <f>SUM(J96:J110)</f>
        <v>871.82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8540098.3200000003</v>
      </c>
      <c r="G112" s="41">
        <f>G60+G111</f>
        <v>120623.33</v>
      </c>
      <c r="H112" s="41">
        <f>H60+H79+H94+H111</f>
        <v>116094.38</v>
      </c>
      <c r="I112" s="41">
        <f>I60+I111</f>
        <v>0</v>
      </c>
      <c r="J112" s="41">
        <f>J60+J111</f>
        <v>871.82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4585416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4585416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92425.8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2194.85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92425.8</v>
      </c>
      <c r="G136" s="41">
        <f>SUM(G123:G135)</f>
        <v>2194.85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4677841.8</v>
      </c>
      <c r="G140" s="41">
        <f>G121+SUM(G136:G137)</f>
        <v>2194.85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52872.78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20592.79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47764.75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47764.75</v>
      </c>
      <c r="G162" s="41">
        <f>SUM(G150:G161)</f>
        <v>20592.79</v>
      </c>
      <c r="H162" s="41">
        <f>SUM(H150:H161)</f>
        <v>52872.78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47764.75</v>
      </c>
      <c r="G169" s="41">
        <f>G147+G162+SUM(G163:G168)</f>
        <v>20592.79</v>
      </c>
      <c r="H169" s="41">
        <f>H147+H162+SUM(H163:H168)</f>
        <v>52872.78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33972.449999999997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33972.449999999997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33972.449999999997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13265704.870000001</v>
      </c>
      <c r="G193" s="47">
        <f>G112+G140+G169+G192</f>
        <v>177383.41999999998</v>
      </c>
      <c r="H193" s="47">
        <f>H112+H140+H169+H192</f>
        <v>168967.16</v>
      </c>
      <c r="I193" s="47">
        <f>I112+I140+I169+I192</f>
        <v>0</v>
      </c>
      <c r="J193" s="47">
        <f>J112+J140+J192</f>
        <v>871.82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3140957.05</v>
      </c>
      <c r="G197" s="18">
        <v>1267273.1000000001</v>
      </c>
      <c r="H197" s="18">
        <v>7905.87</v>
      </c>
      <c r="I197" s="18">
        <v>87121.85</v>
      </c>
      <c r="J197" s="18">
        <v>11552.51</v>
      </c>
      <c r="K197" s="18"/>
      <c r="L197" s="19">
        <f>SUM(F197:K197)</f>
        <v>4514810.38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655995.87</v>
      </c>
      <c r="G198" s="18">
        <v>264656.67</v>
      </c>
      <c r="H198" s="18">
        <v>35323.440000000002</v>
      </c>
      <c r="I198" s="18">
        <v>1044.6300000000001</v>
      </c>
      <c r="J198" s="18">
        <v>1348.9</v>
      </c>
      <c r="K198" s="18"/>
      <c r="L198" s="19">
        <f>SUM(F198:K198)</f>
        <v>958369.51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77671.259999999995</v>
      </c>
      <c r="G200" s="18">
        <v>5797.38</v>
      </c>
      <c r="H200" s="18">
        <v>46266.46</v>
      </c>
      <c r="I200" s="18">
        <v>2363.5500000000002</v>
      </c>
      <c r="J200" s="18"/>
      <c r="K200" s="18">
        <v>299.89999999999998</v>
      </c>
      <c r="L200" s="19">
        <f>SUM(F200:K200)</f>
        <v>132398.54999999999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448322.9</v>
      </c>
      <c r="G202" s="18">
        <v>180883.58</v>
      </c>
      <c r="H202" s="18">
        <v>54958.91</v>
      </c>
      <c r="I202" s="18">
        <v>4065.72</v>
      </c>
      <c r="J202" s="18"/>
      <c r="K202" s="18"/>
      <c r="L202" s="19">
        <f t="shared" ref="L202:L208" si="0">SUM(F202:K202)</f>
        <v>688231.11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279538</v>
      </c>
      <c r="G203" s="18">
        <v>156280.95000000001</v>
      </c>
      <c r="H203" s="18">
        <v>32714.6</v>
      </c>
      <c r="I203" s="18">
        <v>21718.61</v>
      </c>
      <c r="J203" s="18">
        <v>56478.89</v>
      </c>
      <c r="K203" s="18">
        <v>3650.1</v>
      </c>
      <c r="L203" s="19">
        <f t="shared" si="0"/>
        <v>550381.14999999991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9161.14</v>
      </c>
      <c r="G204" s="18">
        <v>818.78</v>
      </c>
      <c r="H204" s="18">
        <v>524869.03</v>
      </c>
      <c r="I204" s="18">
        <v>1337.67</v>
      </c>
      <c r="J204" s="18"/>
      <c r="K204" s="18">
        <v>6525.87</v>
      </c>
      <c r="L204" s="19">
        <f t="shared" si="0"/>
        <v>542712.49000000011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330249.02</v>
      </c>
      <c r="G205" s="18">
        <v>135151.32</v>
      </c>
      <c r="H205" s="18">
        <v>14012.36</v>
      </c>
      <c r="I205" s="18">
        <v>1328.55</v>
      </c>
      <c r="J205" s="18">
        <v>289</v>
      </c>
      <c r="K205" s="18">
        <v>310.07</v>
      </c>
      <c r="L205" s="19">
        <f t="shared" si="0"/>
        <v>481340.32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10221.11</v>
      </c>
      <c r="L206" s="19">
        <f t="shared" si="0"/>
        <v>10221.11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302133.51</v>
      </c>
      <c r="G207" s="18">
        <v>121900.96</v>
      </c>
      <c r="H207" s="18">
        <v>132655.09</v>
      </c>
      <c r="I207" s="18">
        <v>182401.56</v>
      </c>
      <c r="J207" s="18">
        <v>2287.4499999999998</v>
      </c>
      <c r="K207" s="18"/>
      <c r="L207" s="19">
        <f t="shared" si="0"/>
        <v>741378.57000000007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249791.27</v>
      </c>
      <c r="I208" s="18"/>
      <c r="J208" s="18"/>
      <c r="K208" s="18"/>
      <c r="L208" s="19">
        <f t="shared" si="0"/>
        <v>249791.27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2673</v>
      </c>
      <c r="H209" s="18">
        <v>12480.56</v>
      </c>
      <c r="I209" s="18">
        <v>81.87</v>
      </c>
      <c r="J209" s="18"/>
      <c r="K209" s="18"/>
      <c r="L209" s="19">
        <f>SUM(F209:K209)</f>
        <v>15235.43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5244028.75</v>
      </c>
      <c r="G211" s="41">
        <f t="shared" si="1"/>
        <v>2135435.7400000002</v>
      </c>
      <c r="H211" s="41">
        <f t="shared" si="1"/>
        <v>1110977.5900000001</v>
      </c>
      <c r="I211" s="41">
        <f t="shared" si="1"/>
        <v>301464.01</v>
      </c>
      <c r="J211" s="41">
        <f t="shared" si="1"/>
        <v>71956.75</v>
      </c>
      <c r="K211" s="41">
        <f t="shared" si="1"/>
        <v>21007.05</v>
      </c>
      <c r="L211" s="41">
        <f t="shared" si="1"/>
        <v>8884869.8899999987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3023048.68</v>
      </c>
      <c r="I233" s="18"/>
      <c r="J233" s="18"/>
      <c r="K233" s="18"/>
      <c r="L233" s="19">
        <f>SUM(F233:K233)</f>
        <v>3023048.68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419.66</v>
      </c>
      <c r="G234" s="18">
        <v>169.32</v>
      </c>
      <c r="H234" s="18">
        <v>213886.82</v>
      </c>
      <c r="I234" s="18"/>
      <c r="J234" s="18">
        <v>20398.07</v>
      </c>
      <c r="K234" s="18"/>
      <c r="L234" s="19">
        <f>SUM(F234:K234)</f>
        <v>234873.87000000002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>
        <v>13952.62</v>
      </c>
      <c r="I236" s="18"/>
      <c r="J236" s="18"/>
      <c r="K236" s="18"/>
      <c r="L236" s="19">
        <f>SUM(F236:K236)</f>
        <v>13952.62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4026.25</v>
      </c>
      <c r="I238" s="18"/>
      <c r="J238" s="18"/>
      <c r="K238" s="18"/>
      <c r="L238" s="19">
        <f t="shared" ref="L238:L244" si="4">SUM(F238:K238)</f>
        <v>4026.25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1017.91</v>
      </c>
      <c r="G240" s="18">
        <v>90.98</v>
      </c>
      <c r="H240" s="18">
        <v>58318.78</v>
      </c>
      <c r="I240" s="18">
        <v>148.63</v>
      </c>
      <c r="J240" s="18"/>
      <c r="K240" s="18">
        <v>725.1</v>
      </c>
      <c r="L240" s="19">
        <f t="shared" si="4"/>
        <v>60301.399999999994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65739.87</v>
      </c>
      <c r="I244" s="18"/>
      <c r="J244" s="18"/>
      <c r="K244" s="18"/>
      <c r="L244" s="19">
        <f t="shared" si="4"/>
        <v>65739.87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1437.57</v>
      </c>
      <c r="G247" s="41">
        <f t="shared" si="5"/>
        <v>260.3</v>
      </c>
      <c r="H247" s="41">
        <f t="shared" si="5"/>
        <v>3378973.02</v>
      </c>
      <c r="I247" s="41">
        <f t="shared" si="5"/>
        <v>148.63</v>
      </c>
      <c r="J247" s="41">
        <f t="shared" si="5"/>
        <v>20398.07</v>
      </c>
      <c r="K247" s="41">
        <f t="shared" si="5"/>
        <v>725.1</v>
      </c>
      <c r="L247" s="41">
        <f t="shared" si="5"/>
        <v>3401942.6900000004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86446.94</v>
      </c>
      <c r="I255" s="18">
        <v>95</v>
      </c>
      <c r="J255" s="18">
        <v>172172</v>
      </c>
      <c r="K255" s="18"/>
      <c r="L255" s="19">
        <f t="shared" si="6"/>
        <v>258713.94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86446.94</v>
      </c>
      <c r="I256" s="41">
        <f t="shared" si="7"/>
        <v>95</v>
      </c>
      <c r="J256" s="41">
        <f t="shared" si="7"/>
        <v>172172</v>
      </c>
      <c r="K256" s="41">
        <f t="shared" si="7"/>
        <v>0</v>
      </c>
      <c r="L256" s="41">
        <f>SUM(F256:K256)</f>
        <v>258713.94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5245466.32</v>
      </c>
      <c r="G257" s="41">
        <f t="shared" si="8"/>
        <v>2135696.04</v>
      </c>
      <c r="H257" s="41">
        <f t="shared" si="8"/>
        <v>4576397.5500000007</v>
      </c>
      <c r="I257" s="41">
        <f t="shared" si="8"/>
        <v>301707.64</v>
      </c>
      <c r="J257" s="41">
        <f t="shared" si="8"/>
        <v>264526.82</v>
      </c>
      <c r="K257" s="41">
        <f t="shared" si="8"/>
        <v>21732.149999999998</v>
      </c>
      <c r="L257" s="41">
        <f t="shared" si="8"/>
        <v>12545526.519999998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280000</v>
      </c>
      <c r="L260" s="19">
        <f>SUM(F260:K260)</f>
        <v>280000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30800</v>
      </c>
      <c r="L261" s="19">
        <f>SUM(F261:K261)</f>
        <v>30800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33972.449999999997</v>
      </c>
      <c r="L263" s="19">
        <f>SUM(F263:K263)</f>
        <v>33972.449999999997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344772.45</v>
      </c>
      <c r="L270" s="41">
        <f t="shared" si="9"/>
        <v>344772.45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5245466.32</v>
      </c>
      <c r="G271" s="42">
        <f t="shared" si="11"/>
        <v>2135696.04</v>
      </c>
      <c r="H271" s="42">
        <f t="shared" si="11"/>
        <v>4576397.5500000007</v>
      </c>
      <c r="I271" s="42">
        <f t="shared" si="11"/>
        <v>301707.64</v>
      </c>
      <c r="J271" s="42">
        <f t="shared" si="11"/>
        <v>264526.82</v>
      </c>
      <c r="K271" s="42">
        <f t="shared" si="11"/>
        <v>366504.60000000003</v>
      </c>
      <c r="L271" s="42">
        <f t="shared" si="11"/>
        <v>12890298.969999997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625</v>
      </c>
      <c r="G276" s="18"/>
      <c r="H276" s="18"/>
      <c r="I276" s="18">
        <v>3171.6</v>
      </c>
      <c r="J276" s="18">
        <v>6517.08</v>
      </c>
      <c r="K276" s="18"/>
      <c r="L276" s="19">
        <f>SUM(F276:K276)</f>
        <v>10313.68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21310</v>
      </c>
      <c r="G279" s="18"/>
      <c r="H279" s="18">
        <v>3649.95</v>
      </c>
      <c r="I279" s="18">
        <v>1133.8399999999999</v>
      </c>
      <c r="J279" s="18"/>
      <c r="K279" s="18"/>
      <c r="L279" s="19">
        <f>SUM(F279:K279)</f>
        <v>26093.79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2199.19</v>
      </c>
      <c r="J281" s="18">
        <v>3872.5</v>
      </c>
      <c r="K281" s="18"/>
      <c r="L281" s="19">
        <f t="shared" ref="L281:L287" si="12">SUM(F281:K281)</f>
        <v>6071.6900000000005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639.54999999999995</v>
      </c>
      <c r="H282" s="18">
        <v>7336.26</v>
      </c>
      <c r="I282" s="18">
        <v>3251.68</v>
      </c>
      <c r="J282" s="18">
        <v>48246.25</v>
      </c>
      <c r="K282" s="18"/>
      <c r="L282" s="19">
        <f t="shared" si="12"/>
        <v>59473.74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478.01</v>
      </c>
      <c r="L285" s="19">
        <f t="shared" si="12"/>
        <v>478.01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v>479.95</v>
      </c>
      <c r="K286" s="18"/>
      <c r="L286" s="19">
        <f t="shared" si="12"/>
        <v>479.95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132.16999999999999</v>
      </c>
      <c r="I288" s="18"/>
      <c r="J288" s="18"/>
      <c r="K288" s="18"/>
      <c r="L288" s="19">
        <f>SUM(F288:K288)</f>
        <v>132.16999999999999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21935</v>
      </c>
      <c r="G290" s="42">
        <f t="shared" si="13"/>
        <v>639.54999999999995</v>
      </c>
      <c r="H290" s="42">
        <f t="shared" si="13"/>
        <v>11118.38</v>
      </c>
      <c r="I290" s="42">
        <f t="shared" si="13"/>
        <v>9756.31</v>
      </c>
      <c r="J290" s="42">
        <f t="shared" si="13"/>
        <v>59115.78</v>
      </c>
      <c r="K290" s="42">
        <f t="shared" si="13"/>
        <v>478.01</v>
      </c>
      <c r="L290" s="41">
        <f t="shared" si="13"/>
        <v>103043.02999999998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21935</v>
      </c>
      <c r="G338" s="41">
        <f t="shared" si="20"/>
        <v>639.54999999999995</v>
      </c>
      <c r="H338" s="41">
        <f t="shared" si="20"/>
        <v>11118.38</v>
      </c>
      <c r="I338" s="41">
        <f t="shared" si="20"/>
        <v>9756.31</v>
      </c>
      <c r="J338" s="41">
        <f t="shared" si="20"/>
        <v>59115.78</v>
      </c>
      <c r="K338" s="41">
        <f t="shared" si="20"/>
        <v>478.01</v>
      </c>
      <c r="L338" s="41">
        <f t="shared" si="20"/>
        <v>103043.02999999998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21935</v>
      </c>
      <c r="G352" s="41">
        <f>G338</f>
        <v>639.54999999999995</v>
      </c>
      <c r="H352" s="41">
        <f>H338</f>
        <v>11118.38</v>
      </c>
      <c r="I352" s="41">
        <f>I338</f>
        <v>9756.31</v>
      </c>
      <c r="J352" s="41">
        <f>J338</f>
        <v>59115.78</v>
      </c>
      <c r="K352" s="47">
        <f>K338+K351</f>
        <v>478.01</v>
      </c>
      <c r="L352" s="41">
        <f>L338+L351</f>
        <v>103043.02999999998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81323.47</v>
      </c>
      <c r="G358" s="18">
        <v>32811.35</v>
      </c>
      <c r="H358" s="18">
        <v>2562.34</v>
      </c>
      <c r="I358" s="18">
        <v>57811.26</v>
      </c>
      <c r="J358" s="18">
        <v>2875</v>
      </c>
      <c r="K358" s="18"/>
      <c r="L358" s="13">
        <f>SUM(F358:K358)</f>
        <v>177383.42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81323.47</v>
      </c>
      <c r="G362" s="47">
        <f t="shared" si="22"/>
        <v>32811.35</v>
      </c>
      <c r="H362" s="47">
        <f t="shared" si="22"/>
        <v>2562.34</v>
      </c>
      <c r="I362" s="47">
        <f t="shared" si="22"/>
        <v>57811.26</v>
      </c>
      <c r="J362" s="47">
        <f t="shared" si="22"/>
        <v>2875</v>
      </c>
      <c r="K362" s="47">
        <f t="shared" si="22"/>
        <v>0</v>
      </c>
      <c r="L362" s="47">
        <f t="shared" si="22"/>
        <v>177383.42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52649.82</v>
      </c>
      <c r="G367" s="18"/>
      <c r="H367" s="18"/>
      <c r="I367" s="56">
        <f>SUM(F367:H367)</f>
        <v>52649.82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5161.4399999999996</v>
      </c>
      <c r="G368" s="63"/>
      <c r="H368" s="63"/>
      <c r="I368" s="56">
        <f>SUM(F368:H368)</f>
        <v>5161.4399999999996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57811.26</v>
      </c>
      <c r="G369" s="47">
        <f>SUM(G367:G368)</f>
        <v>0</v>
      </c>
      <c r="H369" s="47">
        <f>SUM(H367:H368)</f>
        <v>0</v>
      </c>
      <c r="I369" s="47">
        <f>SUM(I367:I368)</f>
        <v>57811.26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497.93</v>
      </c>
      <c r="I396" s="18"/>
      <c r="J396" s="24" t="s">
        <v>289</v>
      </c>
      <c r="K396" s="24" t="s">
        <v>289</v>
      </c>
      <c r="L396" s="56">
        <f t="shared" si="26"/>
        <v>497.93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370.38</v>
      </c>
      <c r="I397" s="18"/>
      <c r="J397" s="24" t="s">
        <v>289</v>
      </c>
      <c r="K397" s="24" t="s">
        <v>289</v>
      </c>
      <c r="L397" s="56">
        <f t="shared" si="26"/>
        <v>370.38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3.51</v>
      </c>
      <c r="I398" s="18"/>
      <c r="J398" s="24" t="s">
        <v>289</v>
      </c>
      <c r="K398" s="24" t="s">
        <v>289</v>
      </c>
      <c r="L398" s="56">
        <f t="shared" si="26"/>
        <v>3.51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871.81999999999994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871.81999999999994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871.81999999999994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871.81999999999994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71113.490000000005</v>
      </c>
      <c r="H440" s="18"/>
      <c r="I440" s="56">
        <f t="shared" si="33"/>
        <v>71113.490000000005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37725.800000000003</v>
      </c>
      <c r="H441" s="18"/>
      <c r="I441" s="56">
        <f t="shared" si="33"/>
        <v>37725.800000000003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108839.29000000001</v>
      </c>
      <c r="H446" s="13">
        <f>SUM(H439:H445)</f>
        <v>0</v>
      </c>
      <c r="I446" s="13">
        <f>SUM(I439:I445)</f>
        <v>108839.29000000001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10714</v>
      </c>
      <c r="H448" s="18"/>
      <c r="I448" s="56">
        <f>SUM(F448:H448)</f>
        <v>10714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10714</v>
      </c>
      <c r="H452" s="72">
        <f>SUM(H448:H451)</f>
        <v>0</v>
      </c>
      <c r="I452" s="72">
        <f>SUM(I448:I451)</f>
        <v>10714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98125.29</v>
      </c>
      <c r="H456" s="18"/>
      <c r="I456" s="56">
        <f t="shared" si="34"/>
        <v>98125.29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98125.29</v>
      </c>
      <c r="H460" s="83">
        <f>SUM(H454:H459)</f>
        <v>0</v>
      </c>
      <c r="I460" s="83">
        <f>SUM(I454:I459)</f>
        <v>98125.29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108839.29</v>
      </c>
      <c r="H461" s="42">
        <f>H452+H460</f>
        <v>0</v>
      </c>
      <c r="I461" s="42">
        <f>I452+I460</f>
        <v>108839.29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453322</v>
      </c>
      <c r="G465" s="18">
        <v>629.69000000000005</v>
      </c>
      <c r="H465" s="18">
        <v>5163.8500000000004</v>
      </c>
      <c r="I465" s="18"/>
      <c r="J465" s="18">
        <v>97253.47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13265704.869999999</v>
      </c>
      <c r="G468" s="18">
        <v>177383.42</v>
      </c>
      <c r="H468" s="18">
        <v>168967.16</v>
      </c>
      <c r="I468" s="18"/>
      <c r="J468" s="18">
        <v>871.82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646.89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13265704.869999999</v>
      </c>
      <c r="G470" s="53">
        <f>SUM(G468:G469)</f>
        <v>178030.31000000003</v>
      </c>
      <c r="H470" s="53">
        <f>SUM(H468:H469)</f>
        <v>168967.16</v>
      </c>
      <c r="I470" s="53">
        <f>SUM(I468:I469)</f>
        <v>0</v>
      </c>
      <c r="J470" s="53">
        <f>SUM(J468:J469)</f>
        <v>871.82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12890298.970000001</v>
      </c>
      <c r="G472" s="18">
        <v>177383.42</v>
      </c>
      <c r="H472" s="18">
        <v>103043.03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12890298.970000001</v>
      </c>
      <c r="G474" s="53">
        <f>SUM(G472:G473)</f>
        <v>177383.42</v>
      </c>
      <c r="H474" s="53">
        <f>SUM(H472:H473)</f>
        <v>103043.03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828727.89999999851</v>
      </c>
      <c r="G476" s="53">
        <f>(G465+G470)- G474</f>
        <v>1276.5800000000163</v>
      </c>
      <c r="H476" s="53">
        <f>(H465+H470)- H474</f>
        <v>71087.98000000001</v>
      </c>
      <c r="I476" s="53">
        <f>(I465+I470)- I474</f>
        <v>0</v>
      </c>
      <c r="J476" s="53">
        <f>(J465+J470)- J474</f>
        <v>98125.290000000008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8844720.8000000007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5.45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560000</v>
      </c>
      <c r="G495" s="18"/>
      <c r="H495" s="18"/>
      <c r="I495" s="18"/>
      <c r="J495" s="18"/>
      <c r="K495" s="53">
        <f>SUM(F495:J495)</f>
        <v>560000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280000</v>
      </c>
      <c r="G497" s="18"/>
      <c r="H497" s="18"/>
      <c r="I497" s="18"/>
      <c r="J497" s="18"/>
      <c r="K497" s="53">
        <f t="shared" si="35"/>
        <v>280000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280000</v>
      </c>
      <c r="G498" s="204"/>
      <c r="H498" s="204"/>
      <c r="I498" s="204"/>
      <c r="J498" s="204"/>
      <c r="K498" s="205">
        <f t="shared" si="35"/>
        <v>280000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15400</v>
      </c>
      <c r="G499" s="18"/>
      <c r="H499" s="18"/>
      <c r="I499" s="18"/>
      <c r="J499" s="18"/>
      <c r="K499" s="53">
        <f t="shared" si="35"/>
        <v>15400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295400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295400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280000</v>
      </c>
      <c r="G501" s="204"/>
      <c r="H501" s="204"/>
      <c r="I501" s="204"/>
      <c r="J501" s="204"/>
      <c r="K501" s="205">
        <f t="shared" si="35"/>
        <v>280000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15400</v>
      </c>
      <c r="G502" s="18"/>
      <c r="H502" s="18"/>
      <c r="I502" s="18"/>
      <c r="J502" s="18"/>
      <c r="K502" s="53">
        <f t="shared" si="35"/>
        <v>15400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295400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295400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643810.11</v>
      </c>
      <c r="G521" s="18">
        <v>254061.46</v>
      </c>
      <c r="H521" s="18">
        <v>38462.589999999997</v>
      </c>
      <c r="I521" s="18">
        <v>1044.6300000000001</v>
      </c>
      <c r="J521" s="18">
        <v>21746.97</v>
      </c>
      <c r="K521" s="18"/>
      <c r="L521" s="88">
        <f>SUM(F521:K521)</f>
        <v>959125.75999999989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29421.3</v>
      </c>
      <c r="G523" s="18">
        <v>11870.53</v>
      </c>
      <c r="H523" s="18">
        <v>212520.28</v>
      </c>
      <c r="I523" s="18"/>
      <c r="J523" s="18">
        <v>20398.07</v>
      </c>
      <c r="K523" s="18"/>
      <c r="L523" s="88">
        <f>SUM(F523:K523)</f>
        <v>274210.18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673231.41</v>
      </c>
      <c r="G524" s="108">
        <f t="shared" ref="G524:L524" si="36">SUM(G521:G523)</f>
        <v>265931.99</v>
      </c>
      <c r="H524" s="108">
        <f t="shared" si="36"/>
        <v>250982.87</v>
      </c>
      <c r="I524" s="108">
        <f t="shared" si="36"/>
        <v>1044.6300000000001</v>
      </c>
      <c r="J524" s="108">
        <f t="shared" si="36"/>
        <v>42145.04</v>
      </c>
      <c r="K524" s="108">
        <f t="shared" si="36"/>
        <v>0</v>
      </c>
      <c r="L524" s="89">
        <f t="shared" si="36"/>
        <v>1233335.94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213767.3</v>
      </c>
      <c r="G526" s="18">
        <v>86248.09</v>
      </c>
      <c r="H526" s="18">
        <v>23380.16</v>
      </c>
      <c r="I526" s="18">
        <v>2575.16</v>
      </c>
      <c r="J526" s="18"/>
      <c r="K526" s="18"/>
      <c r="L526" s="88">
        <f>SUM(F526:K526)</f>
        <v>325970.70999999996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4026.25</v>
      </c>
      <c r="I528" s="18"/>
      <c r="J528" s="18"/>
      <c r="K528" s="18"/>
      <c r="L528" s="88">
        <f>SUM(F528:K528)</f>
        <v>4026.25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213767.3</v>
      </c>
      <c r="G529" s="89">
        <f t="shared" ref="G529:L529" si="37">SUM(G526:G528)</f>
        <v>86248.09</v>
      </c>
      <c r="H529" s="89">
        <f t="shared" si="37"/>
        <v>27406.41</v>
      </c>
      <c r="I529" s="89">
        <f t="shared" si="37"/>
        <v>2575.16</v>
      </c>
      <c r="J529" s="89">
        <f t="shared" si="37"/>
        <v>0</v>
      </c>
      <c r="K529" s="89">
        <f t="shared" si="37"/>
        <v>0</v>
      </c>
      <c r="L529" s="89">
        <f t="shared" si="37"/>
        <v>329996.95999999996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25312.799999999999</v>
      </c>
      <c r="G531" s="18">
        <v>12466.54</v>
      </c>
      <c r="H531" s="18">
        <v>2228.7800000000002</v>
      </c>
      <c r="I531" s="18">
        <v>806.74</v>
      </c>
      <c r="J531" s="18">
        <v>353.54</v>
      </c>
      <c r="K531" s="18">
        <v>463.05</v>
      </c>
      <c r="L531" s="88">
        <f>SUM(F531:K531)</f>
        <v>41631.449999999997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10805.92</v>
      </c>
      <c r="G533" s="18">
        <v>5342.8</v>
      </c>
      <c r="H533" s="18">
        <v>955.19</v>
      </c>
      <c r="I533" s="18">
        <v>345.75</v>
      </c>
      <c r="J533" s="18">
        <v>151.52000000000001</v>
      </c>
      <c r="K533" s="18">
        <v>198.45</v>
      </c>
      <c r="L533" s="88">
        <f>SUM(F533:K533)</f>
        <v>17799.63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36118.720000000001</v>
      </c>
      <c r="G534" s="89">
        <f t="shared" ref="G534:L534" si="38">SUM(G531:G533)</f>
        <v>17809.34</v>
      </c>
      <c r="H534" s="89">
        <f t="shared" si="38"/>
        <v>3183.9700000000003</v>
      </c>
      <c r="I534" s="89">
        <f t="shared" si="38"/>
        <v>1152.49</v>
      </c>
      <c r="J534" s="89">
        <f t="shared" si="38"/>
        <v>505.06000000000006</v>
      </c>
      <c r="K534" s="89">
        <f t="shared" si="38"/>
        <v>661.5</v>
      </c>
      <c r="L534" s="89">
        <f t="shared" si="38"/>
        <v>59431.08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1347.2</v>
      </c>
      <c r="I536" s="18"/>
      <c r="J536" s="18"/>
      <c r="K536" s="18"/>
      <c r="L536" s="88">
        <f>SUM(F536:K536)</f>
        <v>1347.2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15319.16</v>
      </c>
      <c r="I538" s="18"/>
      <c r="J538" s="18"/>
      <c r="K538" s="18"/>
      <c r="L538" s="88">
        <f>SUM(F538:K538)</f>
        <v>15319.16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16666.36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16666.36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4574.8599999999997</v>
      </c>
      <c r="I541" s="18"/>
      <c r="J541" s="18"/>
      <c r="K541" s="18"/>
      <c r="L541" s="88">
        <f>SUM(F541:K541)</f>
        <v>4574.8599999999997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25682.37</v>
      </c>
      <c r="I543" s="18"/>
      <c r="J543" s="18"/>
      <c r="K543" s="18"/>
      <c r="L543" s="88">
        <f>SUM(F543:K543)</f>
        <v>25682.37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30257.23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30257.23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923117.42999999993</v>
      </c>
      <c r="G545" s="89">
        <f t="shared" ref="G545:L545" si="41">G524+G529+G534+G539+G544</f>
        <v>369989.42</v>
      </c>
      <c r="H545" s="89">
        <f t="shared" si="41"/>
        <v>328496.83999999991</v>
      </c>
      <c r="I545" s="89">
        <f t="shared" si="41"/>
        <v>4772.28</v>
      </c>
      <c r="J545" s="89">
        <f t="shared" si="41"/>
        <v>42650.1</v>
      </c>
      <c r="K545" s="89">
        <f t="shared" si="41"/>
        <v>661.5</v>
      </c>
      <c r="L545" s="89">
        <f t="shared" si="41"/>
        <v>1669687.57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959125.75999999989</v>
      </c>
      <c r="G549" s="87">
        <f>L526</f>
        <v>325970.70999999996</v>
      </c>
      <c r="H549" s="87">
        <f>L531</f>
        <v>41631.449999999997</v>
      </c>
      <c r="I549" s="87">
        <f>L536</f>
        <v>1347.2</v>
      </c>
      <c r="J549" s="87">
        <f>L541</f>
        <v>4574.8599999999997</v>
      </c>
      <c r="K549" s="87">
        <f>SUM(F549:J549)</f>
        <v>1332649.9799999997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274210.18</v>
      </c>
      <c r="G551" s="87">
        <f>L528</f>
        <v>4026.25</v>
      </c>
      <c r="H551" s="87">
        <f>L533</f>
        <v>17799.63</v>
      </c>
      <c r="I551" s="87">
        <f>L538</f>
        <v>15319.16</v>
      </c>
      <c r="J551" s="87">
        <f>L543</f>
        <v>25682.37</v>
      </c>
      <c r="K551" s="87">
        <f>SUM(F551:J551)</f>
        <v>337037.58999999997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1233335.94</v>
      </c>
      <c r="G552" s="89">
        <f t="shared" si="42"/>
        <v>329996.95999999996</v>
      </c>
      <c r="H552" s="89">
        <f t="shared" si="42"/>
        <v>59431.08</v>
      </c>
      <c r="I552" s="89">
        <f t="shared" si="42"/>
        <v>16666.36</v>
      </c>
      <c r="J552" s="89">
        <f t="shared" si="42"/>
        <v>30257.23</v>
      </c>
      <c r="K552" s="89">
        <f t="shared" si="42"/>
        <v>1669687.5699999998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270.38</v>
      </c>
      <c r="G562" s="18">
        <v>105.86</v>
      </c>
      <c r="H562" s="18"/>
      <c r="I562" s="18"/>
      <c r="J562" s="18"/>
      <c r="K562" s="18"/>
      <c r="L562" s="88">
        <f>SUM(F562:K562)</f>
        <v>376.24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270.38</v>
      </c>
      <c r="G565" s="89">
        <f t="shared" si="44"/>
        <v>105.86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376.24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270.38</v>
      </c>
      <c r="G571" s="89">
        <f t="shared" ref="G571:L571" si="46">G560+G565+G570</f>
        <v>105.86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376.24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3008225.44</v>
      </c>
      <c r="I575" s="87">
        <f>SUM(F575:H575)</f>
        <v>3008225.44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23875</v>
      </c>
      <c r="G579" s="18"/>
      <c r="H579" s="18">
        <v>56691.06</v>
      </c>
      <c r="I579" s="87">
        <f t="shared" si="47"/>
        <v>80566.06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139761.4</v>
      </c>
      <c r="I582" s="87">
        <f t="shared" si="47"/>
        <v>139761.4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226992.5</v>
      </c>
      <c r="I591" s="18"/>
      <c r="J591" s="18">
        <v>40057.5</v>
      </c>
      <c r="K591" s="104">
        <f t="shared" ref="K591:K597" si="48">SUM(H591:J591)</f>
        <v>267050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4574.8599999999997</v>
      </c>
      <c r="I592" s="18"/>
      <c r="J592" s="18">
        <v>25682.37</v>
      </c>
      <c r="K592" s="104">
        <f t="shared" si="48"/>
        <v>30257.23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6396.5</v>
      </c>
      <c r="I594" s="18"/>
      <c r="J594" s="18"/>
      <c r="K594" s="104">
        <f t="shared" si="48"/>
        <v>6396.5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11827.41</v>
      </c>
      <c r="I595" s="18"/>
      <c r="J595" s="18"/>
      <c r="K595" s="104">
        <f t="shared" si="48"/>
        <v>11827.41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249791.27</v>
      </c>
      <c r="I598" s="108">
        <f>SUM(I591:I597)</f>
        <v>0</v>
      </c>
      <c r="J598" s="108">
        <f>SUM(J591:J597)</f>
        <v>65739.87</v>
      </c>
      <c r="K598" s="108">
        <f>SUM(K591:K597)</f>
        <v>315531.13999999996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131072.53</v>
      </c>
      <c r="I604" s="18"/>
      <c r="J604" s="18">
        <v>20398.07</v>
      </c>
      <c r="K604" s="104">
        <f>SUM(H604:J604)</f>
        <v>151470.6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131072.53</v>
      </c>
      <c r="I605" s="108">
        <f>SUM(I602:I604)</f>
        <v>0</v>
      </c>
      <c r="J605" s="108">
        <f>SUM(J602:J604)</f>
        <v>20398.07</v>
      </c>
      <c r="K605" s="108">
        <f>SUM(K602:K604)</f>
        <v>151470.6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17086.259999999998</v>
      </c>
      <c r="G611" s="18">
        <v>6881.07</v>
      </c>
      <c r="H611" s="18">
        <v>4486.3500000000004</v>
      </c>
      <c r="I611" s="18"/>
      <c r="J611" s="18"/>
      <c r="K611" s="18"/>
      <c r="L611" s="88">
        <f>SUM(F611:K611)</f>
        <v>28453.68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>
        <v>13952.62</v>
      </c>
      <c r="I613" s="18"/>
      <c r="J613" s="18"/>
      <c r="K613" s="18"/>
      <c r="L613" s="88">
        <f>SUM(F613:K613)</f>
        <v>13952.62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17086.259999999998</v>
      </c>
      <c r="G614" s="108">
        <f t="shared" si="49"/>
        <v>6881.07</v>
      </c>
      <c r="H614" s="108">
        <f t="shared" si="49"/>
        <v>18438.97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42406.3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2821814.88</v>
      </c>
      <c r="H617" s="109">
        <f>SUM(F52)</f>
        <v>2821814.88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4844.38</v>
      </c>
      <c r="H618" s="109">
        <f>SUM(G52)</f>
        <v>4844.3799999999992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74149.3</v>
      </c>
      <c r="H619" s="109">
        <f>SUM(H52)</f>
        <v>74149.299999999988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108839.29000000001</v>
      </c>
      <c r="H621" s="109">
        <f>SUM(J52)</f>
        <v>108839.29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828727.9</v>
      </c>
      <c r="H622" s="109">
        <f>F476</f>
        <v>828727.89999999851</v>
      </c>
      <c r="I622" s="121" t="s">
        <v>101</v>
      </c>
      <c r="J622" s="109">
        <f t="shared" ref="J622:J655" si="50">G622-H622</f>
        <v>1.5133991837501526E-9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1276.58</v>
      </c>
      <c r="H623" s="109">
        <f>G476</f>
        <v>1276.5800000000163</v>
      </c>
      <c r="I623" s="121" t="s">
        <v>102</v>
      </c>
      <c r="J623" s="109">
        <f t="shared" si="50"/>
        <v>-1.6370904631912708E-11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71087.98</v>
      </c>
      <c r="H624" s="109">
        <f>H476</f>
        <v>71087.98000000001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98125.29</v>
      </c>
      <c r="H626" s="109">
        <f>J476</f>
        <v>98125.290000000008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13265704.870000001</v>
      </c>
      <c r="H627" s="104">
        <f>SUM(F468)</f>
        <v>13265704.869999999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177383.41999999998</v>
      </c>
      <c r="H628" s="104">
        <f>SUM(G468)</f>
        <v>177383.42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168967.16</v>
      </c>
      <c r="H629" s="104">
        <f>SUM(H468)</f>
        <v>168967.16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871.82</v>
      </c>
      <c r="H631" s="104">
        <f>SUM(J468)</f>
        <v>871.82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12890298.969999997</v>
      </c>
      <c r="H632" s="104">
        <f>SUM(F472)</f>
        <v>12890298.970000001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103043.02999999998</v>
      </c>
      <c r="H633" s="104">
        <f>SUM(H472)</f>
        <v>103043.03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57811.26</v>
      </c>
      <c r="H634" s="104">
        <f>I369</f>
        <v>57811.26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177383.42</v>
      </c>
      <c r="H635" s="104">
        <f>SUM(G472)</f>
        <v>177383.42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871.81999999999994</v>
      </c>
      <c r="H637" s="164">
        <f>SUM(J468)</f>
        <v>871.82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108839.29000000001</v>
      </c>
      <c r="H640" s="104">
        <f>SUM(G461)</f>
        <v>108839.29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108839.29000000001</v>
      </c>
      <c r="H642" s="104">
        <f>SUM(I461)</f>
        <v>108839.29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871.82</v>
      </c>
      <c r="H644" s="104">
        <f>H408</f>
        <v>871.81999999999994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871.82</v>
      </c>
      <c r="H646" s="104">
        <f>L408</f>
        <v>871.81999999999994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315531.13999999996</v>
      </c>
      <c r="H647" s="104">
        <f>L208+L226+L244</f>
        <v>315531.14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151470.6</v>
      </c>
      <c r="H648" s="104">
        <f>(J257+J338)-(J255+J336)</f>
        <v>151470.59999999998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249791.27</v>
      </c>
      <c r="H649" s="104">
        <f>H598</f>
        <v>249791.27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65739.87</v>
      </c>
      <c r="H651" s="104">
        <f>J598</f>
        <v>65739.87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33972.449999999997</v>
      </c>
      <c r="H652" s="104">
        <f>K263+K345</f>
        <v>33972.449999999997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9165296.339999998</v>
      </c>
      <c r="G660" s="19">
        <f>(L229+L309+L359)</f>
        <v>0</v>
      </c>
      <c r="H660" s="19">
        <f>(L247+L328+L360)</f>
        <v>3401942.6900000004</v>
      </c>
      <c r="I660" s="19">
        <f>SUM(F660:H660)</f>
        <v>12567239.029999997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120623.33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120623.33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249791.27</v>
      </c>
      <c r="G662" s="19">
        <f>(L226+L306)-(J226+J306)</f>
        <v>0</v>
      </c>
      <c r="H662" s="19">
        <f>(L244+L325)-(J244+J325)</f>
        <v>65739.87</v>
      </c>
      <c r="I662" s="19">
        <f>SUM(F662:H662)</f>
        <v>315531.14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183401.21</v>
      </c>
      <c r="G663" s="199">
        <f>SUM(G575:G587)+SUM(I602:I604)+L612</f>
        <v>0</v>
      </c>
      <c r="H663" s="199">
        <f>SUM(H575:H587)+SUM(J602:J604)+L613</f>
        <v>3239028.59</v>
      </c>
      <c r="I663" s="19">
        <f>SUM(F663:H663)</f>
        <v>3422429.8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8611480.5299999975</v>
      </c>
      <c r="G664" s="19">
        <f>G660-SUM(G661:G663)</f>
        <v>0</v>
      </c>
      <c r="H664" s="19">
        <f>H660-SUM(H661:H663)</f>
        <v>97174.230000000447</v>
      </c>
      <c r="I664" s="19">
        <f>I660-SUM(I661:I663)</f>
        <v>8708654.7599999979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440.82</v>
      </c>
      <c r="G665" s="248"/>
      <c r="H665" s="248"/>
      <c r="I665" s="19">
        <f>SUM(F665:H665)</f>
        <v>440.82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19535.14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19755.580000000002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-97174.23</v>
      </c>
      <c r="I669" s="19">
        <f>SUM(F669:H669)</f>
        <v>-97174.23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19535.14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19535.14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D42" sqref="D4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RYE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3141582.05</v>
      </c>
      <c r="C9" s="229">
        <f>'DOE25'!G197+'DOE25'!G215+'DOE25'!G233+'DOE25'!G276+'DOE25'!G295+'DOE25'!G314</f>
        <v>1267273.1000000001</v>
      </c>
    </row>
    <row r="10" spans="1:3" x14ac:dyDescent="0.2">
      <c r="A10" t="s">
        <v>779</v>
      </c>
      <c r="B10" s="240">
        <v>2948546.77</v>
      </c>
      <c r="C10" s="240">
        <v>1186547.8</v>
      </c>
    </row>
    <row r="11" spans="1:3" x14ac:dyDescent="0.2">
      <c r="A11" t="s">
        <v>780</v>
      </c>
      <c r="B11" s="240">
        <v>91772.36</v>
      </c>
      <c r="C11" s="240">
        <v>37004.370000000003</v>
      </c>
    </row>
    <row r="12" spans="1:3" x14ac:dyDescent="0.2">
      <c r="A12" t="s">
        <v>781</v>
      </c>
      <c r="B12" s="240">
        <v>101262.92</v>
      </c>
      <c r="C12" s="240">
        <v>43720.93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3141582.05</v>
      </c>
      <c r="C13" s="231">
        <f>SUM(C10:C12)</f>
        <v>1267273.1000000001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656415.53</v>
      </c>
      <c r="C18" s="229">
        <f>'DOE25'!G198+'DOE25'!G216+'DOE25'!G234+'DOE25'!G277+'DOE25'!G296+'DOE25'!G315</f>
        <v>264825.99</v>
      </c>
    </row>
    <row r="19" spans="1:3" x14ac:dyDescent="0.2">
      <c r="A19" t="s">
        <v>779</v>
      </c>
      <c r="B19" s="240">
        <v>431630.67</v>
      </c>
      <c r="C19" s="240">
        <v>174123.08</v>
      </c>
    </row>
    <row r="20" spans="1:3" x14ac:dyDescent="0.2">
      <c r="A20" t="s">
        <v>780</v>
      </c>
      <c r="B20" s="240">
        <v>223943.4</v>
      </c>
      <c r="C20" s="240">
        <v>90332.14</v>
      </c>
    </row>
    <row r="21" spans="1:3" x14ac:dyDescent="0.2">
      <c r="A21" t="s">
        <v>781</v>
      </c>
      <c r="B21" s="240">
        <v>841.46</v>
      </c>
      <c r="C21" s="240">
        <v>370.77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656415.52999999991</v>
      </c>
      <c r="C22" s="231">
        <f>SUM(C19:C21)</f>
        <v>264825.99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98981.26</v>
      </c>
      <c r="C36" s="235">
        <f>'DOE25'!G200+'DOE25'!G218+'DOE25'!G236+'DOE25'!G279+'DOE25'!G298+'DOE25'!G317</f>
        <v>5797.38</v>
      </c>
    </row>
    <row r="37" spans="1:3" x14ac:dyDescent="0.2">
      <c r="A37" t="s">
        <v>779</v>
      </c>
      <c r="B37" s="240">
        <v>36030</v>
      </c>
      <c r="C37" s="240">
        <v>2110.2399999999998</v>
      </c>
    </row>
    <row r="38" spans="1:3" x14ac:dyDescent="0.2">
      <c r="A38" t="s">
        <v>780</v>
      </c>
      <c r="B38" s="240">
        <v>2366.2600000000002</v>
      </c>
      <c r="C38" s="240">
        <v>138.55000000000001</v>
      </c>
    </row>
    <row r="39" spans="1:3" x14ac:dyDescent="0.2">
      <c r="A39" t="s">
        <v>781</v>
      </c>
      <c r="B39" s="240">
        <v>60585</v>
      </c>
      <c r="C39" s="240">
        <v>3548.59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98981.260000000009</v>
      </c>
      <c r="C40" s="231">
        <f>SUM(C37:C39)</f>
        <v>5797.38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48" sqref="F4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RYE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8877453.6099999994</v>
      </c>
      <c r="D5" s="20">
        <f>SUM('DOE25'!L197:L200)+SUM('DOE25'!L215:L218)+SUM('DOE25'!L233:L236)-F5-G5</f>
        <v>8843854.2299999986</v>
      </c>
      <c r="E5" s="243"/>
      <c r="F5" s="255">
        <f>SUM('DOE25'!J197:J200)+SUM('DOE25'!J215:J218)+SUM('DOE25'!J233:J236)</f>
        <v>33299.479999999996</v>
      </c>
      <c r="G5" s="53">
        <f>SUM('DOE25'!K197:K200)+SUM('DOE25'!K215:K218)+SUM('DOE25'!K233:K236)</f>
        <v>299.89999999999998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692257.36</v>
      </c>
      <c r="D6" s="20">
        <f>'DOE25'!L202+'DOE25'!L220+'DOE25'!L238-F6-G6</f>
        <v>692257.36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550381.14999999991</v>
      </c>
      <c r="D7" s="20">
        <f>'DOE25'!L203+'DOE25'!L221+'DOE25'!L239-F7-G7</f>
        <v>490252.15999999992</v>
      </c>
      <c r="E7" s="243"/>
      <c r="F7" s="255">
        <f>'DOE25'!J203+'DOE25'!J221+'DOE25'!J239</f>
        <v>56478.89</v>
      </c>
      <c r="G7" s="53">
        <f>'DOE25'!K203+'DOE25'!K221+'DOE25'!K239</f>
        <v>3650.1</v>
      </c>
      <c r="H7" s="259"/>
    </row>
    <row r="8" spans="1:9" x14ac:dyDescent="0.2">
      <c r="A8" s="32">
        <v>2300</v>
      </c>
      <c r="B8" t="s">
        <v>802</v>
      </c>
      <c r="C8" s="245">
        <f t="shared" si="0"/>
        <v>359571.00000000012</v>
      </c>
      <c r="D8" s="243"/>
      <c r="E8" s="20">
        <f>'DOE25'!L204+'DOE25'!L222+'DOE25'!L240-F8-G8-D9-D11</f>
        <v>352320.03000000014</v>
      </c>
      <c r="F8" s="255">
        <f>'DOE25'!J204+'DOE25'!J222+'DOE25'!J240</f>
        <v>0</v>
      </c>
      <c r="G8" s="53">
        <f>'DOE25'!K204+'DOE25'!K222+'DOE25'!K240</f>
        <v>7250.97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36030.89</v>
      </c>
      <c r="D9" s="244">
        <v>36030.89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7450</v>
      </c>
      <c r="D10" s="243"/>
      <c r="E10" s="244">
        <v>7450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207412</v>
      </c>
      <c r="D11" s="244">
        <v>207412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481340.32</v>
      </c>
      <c r="D12" s="20">
        <f>'DOE25'!L205+'DOE25'!L223+'DOE25'!L241-F12-G12</f>
        <v>480741.25</v>
      </c>
      <c r="E12" s="243"/>
      <c r="F12" s="255">
        <f>'DOE25'!J205+'DOE25'!J223+'DOE25'!J241</f>
        <v>289</v>
      </c>
      <c r="G12" s="53">
        <f>'DOE25'!K205+'DOE25'!K223+'DOE25'!K241</f>
        <v>310.07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10221.11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10221.11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741378.57000000007</v>
      </c>
      <c r="D14" s="20">
        <f>'DOE25'!L207+'DOE25'!L225+'DOE25'!L243-F14-G14</f>
        <v>739091.12000000011</v>
      </c>
      <c r="E14" s="243"/>
      <c r="F14" s="255">
        <f>'DOE25'!J207+'DOE25'!J225+'DOE25'!J243</f>
        <v>2287.4499999999998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315531.14</v>
      </c>
      <c r="D15" s="20">
        <f>'DOE25'!L208+'DOE25'!L226+'DOE25'!L244-F15-G15</f>
        <v>315531.14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15235.43</v>
      </c>
      <c r="D16" s="243"/>
      <c r="E16" s="20">
        <f>'DOE25'!L209+'DOE25'!L227+'DOE25'!L245-F16-G16</f>
        <v>15235.43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258713.94</v>
      </c>
      <c r="D22" s="243"/>
      <c r="E22" s="243"/>
      <c r="F22" s="255">
        <f>'DOE25'!L255+'DOE25'!L336</f>
        <v>258713.94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310800</v>
      </c>
      <c r="D25" s="243"/>
      <c r="E25" s="243"/>
      <c r="F25" s="258"/>
      <c r="G25" s="256"/>
      <c r="H25" s="257">
        <f>'DOE25'!L260+'DOE25'!L261+'DOE25'!L341+'DOE25'!L342</f>
        <v>310800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124733.6</v>
      </c>
      <c r="D29" s="20">
        <f>'DOE25'!L358+'DOE25'!L359+'DOE25'!L360-'DOE25'!I367-F29-G29</f>
        <v>121858.6</v>
      </c>
      <c r="E29" s="243"/>
      <c r="F29" s="255">
        <f>'DOE25'!J358+'DOE25'!J359+'DOE25'!J360</f>
        <v>2875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103043.02999999998</v>
      </c>
      <c r="D31" s="20">
        <f>'DOE25'!L290+'DOE25'!L309+'DOE25'!L328+'DOE25'!L333+'DOE25'!L334+'DOE25'!L335-F31-G31</f>
        <v>43449.239999999983</v>
      </c>
      <c r="E31" s="243"/>
      <c r="F31" s="255">
        <f>'DOE25'!J290+'DOE25'!J309+'DOE25'!J328+'DOE25'!J333+'DOE25'!J334+'DOE25'!J335</f>
        <v>59115.78</v>
      </c>
      <c r="G31" s="53">
        <f>'DOE25'!K290+'DOE25'!K309+'DOE25'!K328+'DOE25'!K333+'DOE25'!K334+'DOE25'!K335</f>
        <v>478.01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11970477.989999998</v>
      </c>
      <c r="E33" s="246">
        <f>SUM(E5:E31)</f>
        <v>375005.46000000014</v>
      </c>
      <c r="F33" s="246">
        <f>SUM(F5:F31)</f>
        <v>413059.54000000004</v>
      </c>
      <c r="G33" s="246">
        <f>SUM(G5:G31)</f>
        <v>22210.16</v>
      </c>
      <c r="H33" s="246">
        <f>SUM(H5:H31)</f>
        <v>310800</v>
      </c>
    </row>
    <row r="35" spans="2:8" ht="12" thickBot="1" x14ac:dyDescent="0.25">
      <c r="B35" s="253" t="s">
        <v>847</v>
      </c>
      <c r="D35" s="254">
        <f>E33</f>
        <v>375005.46000000014</v>
      </c>
      <c r="E35" s="249"/>
    </row>
    <row r="36" spans="2:8" ht="12" thickTop="1" x14ac:dyDescent="0.2">
      <c r="B36" t="s">
        <v>815</v>
      </c>
      <c r="D36" s="20">
        <f>D33</f>
        <v>11970477.989999998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RYE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2797898.31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71113.490000000005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13455.78</v>
      </c>
      <c r="D11" s="95">
        <f>'DOE25'!G12</f>
        <v>2074.06</v>
      </c>
      <c r="E11" s="95">
        <f>'DOE25'!H12</f>
        <v>63201.85</v>
      </c>
      <c r="F11" s="95">
        <f>'DOE25'!I12</f>
        <v>0</v>
      </c>
      <c r="G11" s="95">
        <f>'DOE25'!J12</f>
        <v>37725.800000000003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10391.799999999999</v>
      </c>
      <c r="D12" s="95">
        <f>'DOE25'!G13</f>
        <v>1493.74</v>
      </c>
      <c r="E12" s="95">
        <f>'DOE25'!H13</f>
        <v>10947.45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68.989999999999995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1276.58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2821814.88</v>
      </c>
      <c r="D18" s="41">
        <f>SUM(D8:D17)</f>
        <v>4844.38</v>
      </c>
      <c r="E18" s="41">
        <f>SUM(E8:E17)</f>
        <v>74149.3</v>
      </c>
      <c r="F18" s="41">
        <f>SUM(F8:F17)</f>
        <v>0</v>
      </c>
      <c r="G18" s="41">
        <f>SUM(G8:G17)</f>
        <v>108839.29000000001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103001.71</v>
      </c>
      <c r="D21" s="95">
        <f>'DOE25'!G22</f>
        <v>1226.58</v>
      </c>
      <c r="E21" s="95">
        <f>'DOE25'!H22</f>
        <v>1515.2</v>
      </c>
      <c r="F21" s="95">
        <f>'DOE25'!I22</f>
        <v>0</v>
      </c>
      <c r="G21" s="95">
        <f>'DOE25'!J22</f>
        <v>10714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1567364.76</v>
      </c>
      <c r="D22" s="95">
        <f>'DOE25'!G23</f>
        <v>68.83</v>
      </c>
      <c r="E22" s="95">
        <f>'DOE25'!H23</f>
        <v>480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159976.03</v>
      </c>
      <c r="D23" s="95">
        <f>'DOE25'!G24</f>
        <v>2272.39</v>
      </c>
      <c r="E23" s="95">
        <f>'DOE25'!H24</f>
        <v>1066.1199999999999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162744.48000000001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1993086.98</v>
      </c>
      <c r="D31" s="41">
        <f>SUM(D21:D30)</f>
        <v>3567.7999999999997</v>
      </c>
      <c r="E31" s="41">
        <f>SUM(E21:E30)</f>
        <v>3061.3199999999997</v>
      </c>
      <c r="F31" s="41">
        <f>SUM(F21:F30)</f>
        <v>0</v>
      </c>
      <c r="G31" s="41">
        <f>SUM(G21:G30)</f>
        <v>10714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1276.58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98125.29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318560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71087.98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450167.9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828727.9</v>
      </c>
      <c r="D50" s="41">
        <f>SUM(D34:D49)</f>
        <v>1276.58</v>
      </c>
      <c r="E50" s="41">
        <f>SUM(E34:E49)</f>
        <v>71087.98</v>
      </c>
      <c r="F50" s="41">
        <f>SUM(F34:F49)</f>
        <v>0</v>
      </c>
      <c r="G50" s="41">
        <f>SUM(G34:G49)</f>
        <v>98125.29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2821814.88</v>
      </c>
      <c r="D51" s="41">
        <f>D50+D31</f>
        <v>4844.3799999999992</v>
      </c>
      <c r="E51" s="41">
        <f>E50+E31</f>
        <v>74149.299999999988</v>
      </c>
      <c r="F51" s="41">
        <f>F50+F31</f>
        <v>0</v>
      </c>
      <c r="G51" s="41">
        <f>G50+G31</f>
        <v>108839.29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8157048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164640.81999999998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871.82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120623.33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218409.5</v>
      </c>
      <c r="D61" s="95">
        <f>SUM('DOE25'!G98:G110)</f>
        <v>0</v>
      </c>
      <c r="E61" s="95">
        <f>SUM('DOE25'!H98:H110)</f>
        <v>116094.38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383050.31999999995</v>
      </c>
      <c r="D62" s="130">
        <f>SUM(D57:D61)</f>
        <v>120623.33</v>
      </c>
      <c r="E62" s="130">
        <f>SUM(E57:E61)</f>
        <v>116094.38</v>
      </c>
      <c r="F62" s="130">
        <f>SUM(F57:F61)</f>
        <v>0</v>
      </c>
      <c r="G62" s="130">
        <f>SUM(G57:G61)</f>
        <v>871.82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8540098.3200000003</v>
      </c>
      <c r="D63" s="22">
        <f>D56+D62</f>
        <v>120623.33</v>
      </c>
      <c r="E63" s="22">
        <f>E56+E62</f>
        <v>116094.38</v>
      </c>
      <c r="F63" s="22">
        <f>F56+F62</f>
        <v>0</v>
      </c>
      <c r="G63" s="22">
        <f>G56+G62</f>
        <v>871.82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4585416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4585416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92425.8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2194.85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92425.8</v>
      </c>
      <c r="D78" s="130">
        <f>SUM(D72:D77)</f>
        <v>2194.85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4677841.8</v>
      </c>
      <c r="D81" s="130">
        <f>SUM(D79:D80)+D78+D70</f>
        <v>2194.85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47764.75</v>
      </c>
      <c r="D88" s="95">
        <f>SUM('DOE25'!G153:G161)</f>
        <v>20592.79</v>
      </c>
      <c r="E88" s="95">
        <f>SUM('DOE25'!H153:H161)</f>
        <v>52872.78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47764.75</v>
      </c>
      <c r="D91" s="131">
        <f>SUM(D85:D90)</f>
        <v>20592.79</v>
      </c>
      <c r="E91" s="131">
        <f>SUM(E85:E90)</f>
        <v>52872.78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33972.449999999997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33972.449999999997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13265704.870000001</v>
      </c>
      <c r="D104" s="86">
        <f>D63+D81+D91+D103</f>
        <v>177383.41999999998</v>
      </c>
      <c r="E104" s="86">
        <f>E63+E81+E91+E103</f>
        <v>168967.16</v>
      </c>
      <c r="F104" s="86">
        <f>F63+F81+F91+F103</f>
        <v>0</v>
      </c>
      <c r="G104" s="86">
        <f>G63+G81+G103</f>
        <v>871.82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7537859.0600000005</v>
      </c>
      <c r="D109" s="24" t="s">
        <v>289</v>
      </c>
      <c r="E109" s="95">
        <f>('DOE25'!L276)+('DOE25'!L295)+('DOE25'!L314)</f>
        <v>10313.68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1193243.3800000001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146351.16999999998</v>
      </c>
      <c r="D112" s="24" t="s">
        <v>289</v>
      </c>
      <c r="E112" s="95">
        <f>+('DOE25'!L279)+('DOE25'!L298)+('DOE25'!L317)</f>
        <v>26093.79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8877453.6100000013</v>
      </c>
      <c r="D115" s="86">
        <f>SUM(D109:D114)</f>
        <v>0</v>
      </c>
      <c r="E115" s="86">
        <f>SUM(E109:E114)</f>
        <v>36407.47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692257.36</v>
      </c>
      <c r="D118" s="24" t="s">
        <v>289</v>
      </c>
      <c r="E118" s="95">
        <f>+('DOE25'!L281)+('DOE25'!L300)+('DOE25'!L319)</f>
        <v>6071.6900000000005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550381.14999999991</v>
      </c>
      <c r="D119" s="24" t="s">
        <v>289</v>
      </c>
      <c r="E119" s="95">
        <f>+('DOE25'!L282)+('DOE25'!L301)+('DOE25'!L320)</f>
        <v>59473.74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603013.89000000013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481340.32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10221.11</v>
      </c>
      <c r="D122" s="24" t="s">
        <v>289</v>
      </c>
      <c r="E122" s="95">
        <f>+('DOE25'!L285)+('DOE25'!L304)+('DOE25'!L323)</f>
        <v>478.01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741378.57000000007</v>
      </c>
      <c r="D123" s="24" t="s">
        <v>289</v>
      </c>
      <c r="E123" s="95">
        <f>+('DOE25'!L286)+('DOE25'!L305)+('DOE25'!L324)</f>
        <v>479.95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315531.14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15235.43</v>
      </c>
      <c r="D125" s="24" t="s">
        <v>289</v>
      </c>
      <c r="E125" s="95">
        <f>+('DOE25'!L288)+('DOE25'!L307)+('DOE25'!L326)</f>
        <v>132.16999999999999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177383.42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3409358.9699999997</v>
      </c>
      <c r="D128" s="86">
        <f>SUM(D118:D127)</f>
        <v>177383.42</v>
      </c>
      <c r="E128" s="86">
        <f>SUM(E118:E127)</f>
        <v>66635.559999999983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258713.94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280000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30800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33972.449999999997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871.81999999999994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-871.81999999999994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603486.3899999999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12890298.970000003</v>
      </c>
      <c r="D145" s="86">
        <f>(D115+D128+D144)</f>
        <v>177383.42</v>
      </c>
      <c r="E145" s="86">
        <f>(E115+E128+E144)</f>
        <v>103043.02999999998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12/96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8844720.8000000007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5.45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280000</v>
      </c>
    </row>
    <row r="159" spans="1:9" x14ac:dyDescent="0.2">
      <c r="A159" s="22" t="s">
        <v>35</v>
      </c>
      <c r="B159" s="137">
        <f>'DOE25'!F498</f>
        <v>280000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280000</v>
      </c>
    </row>
    <row r="160" spans="1:9" x14ac:dyDescent="0.2">
      <c r="A160" s="22" t="s">
        <v>36</v>
      </c>
      <c r="B160" s="137">
        <f>'DOE25'!F499</f>
        <v>15400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15400</v>
      </c>
    </row>
    <row r="161" spans="1:7" x14ac:dyDescent="0.2">
      <c r="A161" s="22" t="s">
        <v>37</v>
      </c>
      <c r="B161" s="137">
        <f>'DOE25'!F500</f>
        <v>295400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295400</v>
      </c>
    </row>
    <row r="162" spans="1:7" x14ac:dyDescent="0.2">
      <c r="A162" s="22" t="s">
        <v>38</v>
      </c>
      <c r="B162" s="137">
        <f>'DOE25'!F501</f>
        <v>280000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280000</v>
      </c>
    </row>
    <row r="163" spans="1:7" x14ac:dyDescent="0.2">
      <c r="A163" s="22" t="s">
        <v>39</v>
      </c>
      <c r="B163" s="137">
        <f>'DOE25'!F502</f>
        <v>15400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15400</v>
      </c>
    </row>
    <row r="164" spans="1:7" x14ac:dyDescent="0.2">
      <c r="A164" s="22" t="s">
        <v>246</v>
      </c>
      <c r="B164" s="137">
        <f>'DOE25'!F503</f>
        <v>295400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295400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F47" sqref="F4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RYE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19535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19535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7548173</v>
      </c>
      <c r="D10" s="182">
        <f>ROUND((C10/$C$28)*100,1)</f>
        <v>60.5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1193243</v>
      </c>
      <c r="D11" s="182">
        <f>ROUND((C11/$C$28)*100,1)</f>
        <v>9.6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172445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698329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609855</v>
      </c>
      <c r="D16" s="182">
        <f t="shared" si="0"/>
        <v>4.9000000000000004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618381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481340</v>
      </c>
      <c r="D18" s="182">
        <f t="shared" si="0"/>
        <v>3.9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10699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741859</v>
      </c>
      <c r="D20" s="182">
        <f t="shared" si="0"/>
        <v>5.9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315531</v>
      </c>
      <c r="D21" s="182">
        <f t="shared" si="0"/>
        <v>2.5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30800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56759.67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12477414.67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258714</v>
      </c>
    </row>
    <row r="30" spans="1:4" x14ac:dyDescent="0.2">
      <c r="B30" s="187" t="s">
        <v>729</v>
      </c>
      <c r="C30" s="180">
        <f>SUM(C28:C29)</f>
        <v>12736128.67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280000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8157048</v>
      </c>
      <c r="D35" s="182">
        <f t="shared" ref="D35:D40" si="1">ROUND((C35/$C$41)*100,1)</f>
        <v>60.6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500016.52000000142</v>
      </c>
      <c r="D36" s="182">
        <f t="shared" si="1"/>
        <v>3.7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4585416</v>
      </c>
      <c r="D37" s="182">
        <f t="shared" si="1"/>
        <v>34.1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94621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121230</v>
      </c>
      <c r="D39" s="182">
        <f t="shared" si="1"/>
        <v>0.9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13458331.520000001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RYE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2016-10-26T14:09:12Z</cp:lastPrinted>
  <dcterms:created xsi:type="dcterms:W3CDTF">1997-12-04T19:04:30Z</dcterms:created>
  <dcterms:modified xsi:type="dcterms:W3CDTF">2016-10-26T14:14:41Z</dcterms:modified>
</cp:coreProperties>
</file>