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378" i="1" l="1"/>
  <c r="F46" i="1"/>
  <c r="F50" i="1" l="1"/>
  <c r="C37" i="12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C63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F32" i="1"/>
  <c r="F52" i="1" s="1"/>
  <c r="H617" i="1" s="1"/>
  <c r="J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G476" i="1" s="1"/>
  <c r="H623" i="1" s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L257" i="1" s="1"/>
  <c r="L271" i="1" s="1"/>
  <c r="G632" i="1" s="1"/>
  <c r="K257" i="1"/>
  <c r="K271" i="1" s="1"/>
  <c r="I257" i="1"/>
  <c r="I271" i="1" s="1"/>
  <c r="G257" i="1"/>
  <c r="G271" i="1" s="1"/>
  <c r="G164" i="2"/>
  <c r="C18" i="2"/>
  <c r="C26" i="10"/>
  <c r="L328" i="1"/>
  <c r="H660" i="1" s="1"/>
  <c r="H664" i="1" s="1"/>
  <c r="L351" i="1"/>
  <c r="I662" i="1"/>
  <c r="L290" i="1"/>
  <c r="F660" i="1" s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C78" i="2"/>
  <c r="C81" i="2" s="1"/>
  <c r="D50" i="2"/>
  <c r="G157" i="2"/>
  <c r="F18" i="2"/>
  <c r="G161" i="2"/>
  <c r="G156" i="2"/>
  <c r="E115" i="2"/>
  <c r="E103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I476" i="1"/>
  <c r="H625" i="1" s="1"/>
  <c r="J625" i="1" s="1"/>
  <c r="G338" i="1"/>
  <c r="G352" i="1" s="1"/>
  <c r="F169" i="1"/>
  <c r="J140" i="1"/>
  <c r="F571" i="1"/>
  <c r="H257" i="1"/>
  <c r="H271" i="1" s="1"/>
  <c r="F664" i="1"/>
  <c r="F672" i="1" s="1"/>
  <c r="C4" i="10" s="1"/>
  <c r="I552" i="1"/>
  <c r="K549" i="1"/>
  <c r="K550" i="1"/>
  <c r="G22" i="2"/>
  <c r="K598" i="1"/>
  <c r="G647" i="1" s="1"/>
  <c r="J647" i="1" s="1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J651" i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38" i="2"/>
  <c r="C16" i="13"/>
  <c r="H33" i="13"/>
  <c r="F667" i="1"/>
  <c r="J622" i="1" l="1"/>
  <c r="J623" i="1"/>
  <c r="E33" i="13"/>
  <c r="D35" i="13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L338" i="1"/>
  <c r="L352" i="1" s="1"/>
  <c r="G633" i="1" s="1"/>
  <c r="J633" i="1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J632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G50" i="2" s="1"/>
  <c r="G51" i="2" s="1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8" i="1"/>
  <c r="J648" i="1" s="1"/>
  <c r="C104" i="2"/>
  <c r="J652" i="1"/>
  <c r="J642" i="1"/>
  <c r="G571" i="1"/>
  <c r="I434" i="1"/>
  <c r="G434" i="1"/>
  <c r="I663" i="1"/>
  <c r="C27" i="10"/>
  <c r="C28" i="10" s="1"/>
  <c r="G635" i="1"/>
  <c r="J635" i="1" s="1"/>
  <c r="G667" i="1" l="1"/>
  <c r="L408" i="1"/>
  <c r="I660" i="1"/>
  <c r="I664" i="1" s="1"/>
  <c r="I672" i="1" s="1"/>
  <c r="C7" i="10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G637" i="1" l="1"/>
  <c r="J637" i="1" s="1"/>
  <c r="H646" i="1"/>
  <c r="J646" i="1" s="1"/>
  <c r="I667" i="1"/>
  <c r="D28" i="10"/>
  <c r="C41" i="10"/>
  <c r="D38" i="10" s="1"/>
  <c r="H656" i="1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<sst xmlns="http://schemas.openxmlformats.org/spreadsheetml/2006/main" count="3955" uniqueCount="913">
  <si>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</si>
  <si>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</si>
  <si>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</si>
  <si>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</si>
  <si>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</si>
  <si>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</si>
  <si>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</si>
  <si>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</si>
  <si>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</si>
  <si>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</si>
  <si>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</si>
  <si>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</si>
  <si>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</si>
  <si>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</si>
  <si>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</si>
  <si>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</si>
  <si>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</si>
  <si>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</si>
  <si>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</si>
  <si>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</si>
  <si>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</si>
  <si>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</si>
  <si>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</si>
  <si>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</si>
  <si>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</si>
  <si>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</si>
  <si>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</si>
  <si>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</si>
  <si>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</si>
  <si>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</si>
  <si>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</si>
  <si>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</si>
  <si>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</si>
  <si>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</si>
  <si>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</si>
  <si>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</si>
  <si>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</si>
  <si>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</si>
  <si>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</si>
  <si>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</si>
  <si>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</si>
  <si>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</si>
  <si>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</si>
  <si>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</si>
  <si>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</si>
  <si>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</si>
  <si>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</si>
  <si>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</si>
  <si>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</si>
  <si>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</si>
  <si>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</si>
  <si>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</si>
  <si>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</si>
  <si>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</si>
  <si>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</si>
  <si>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</si>
  <si>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</si>
  <si>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</si>
  <si>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</si>
  <si>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</si>
  <si>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</si>
  <si>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</si>
  <si>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</si>
  <si>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</si>
  <si>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</si>
  <si>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</si>
  <si>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</si>
  <si>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</si>
  <si>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</si>
  <si>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</si>
  <si>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</si>
  <si>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</si>
  <si>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</si>
  <si>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</si>
  <si>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</si>
  <si>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</si>
  <si>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</si>
  <si>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</si>
  <si>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</si>
  <si>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</si>
  <si>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</si>
  <si>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</si>
  <si>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</si>
  <si>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</si>
  <si>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</si>
  <si>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</si>
  <si>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</si>
  <si>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</si>
  <si>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</si>
  <si>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</si>
  <si>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</si>
  <si>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</si>
  <si>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</si>
  <si>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</si>
  <si>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</si>
  <si>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</si>
  <si>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</si>
  <si>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</si>
  <si>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</si>
  <si>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</si>
  <si>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</si>
  <si>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</si>
  <si>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</si>
  <si>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</si>
  <si>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</si>
  <si>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</si>
  <si>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</si>
  <si>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</si>
  <si>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</si>
  <si>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</si>
  <si>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</si>
  <si>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</si>
  <si>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</si>
  <si>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</si>
  <si>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</si>
  <si>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</si>
  <si>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</si>
  <si>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</si>
  <si>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</si>
  <si>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</si>
  <si>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</si>
  <si>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</si>
  <si>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</si>
  <si>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</si>
  <si>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</si>
  <si>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</si>
  <si>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</si>
  <si>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</si>
  <si>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</si>
  <si>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</si>
  <si>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</si>
  <si>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</si>
  <si>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</si>
  <si>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</si>
  <si>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</si>
  <si>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</si>
  <si>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</si>
  <si>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</si>
  <si>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</si>
  <si>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</si>
  <si>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</si>
  <si>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</si>
  <si>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</si>
  <si>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</si>
  <si>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</si>
  <si>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</si>
  <si>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</si>
  <si>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</si>
  <si>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</si>
  <si>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</si>
  <si>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</si>
  <si>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</si>
  <si>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</si>
  <si>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</si>
  <si>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</si>
  <si>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</si>
  <si>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</si>
  <si>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</si>
  <si>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</si>
  <si>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</si>
  <si>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</si>
  <si>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</si>
  <si>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</si>
  <si>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</si>
  <si>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</si>
  <si>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</si>
  <si>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</si>
  <si>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</si>
  <si>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</si>
  <si>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</si>
  <si>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</si>
  <si>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</si>
  <si>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</si>
  <si>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</si>
  <si>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</si>
  <si>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</si>
  <si>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</si>
  <si>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</si>
  <si>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</si>
  <si>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</si>
  <si>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</si>
  <si>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</si>
  <si>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</si>
  <si>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</si>
  <si>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</si>
  <si>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</si>
  <si>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</si>
  <si>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</si>
  <si>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</si>
  <si>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</si>
  <si>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</si>
  <si>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</si>
  <si>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</si>
  <si>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</si>
  <si>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</si>
  <si>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</si>
  <si>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</si>
  <si>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</si>
  <si>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</si>
  <si>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</si>
  <si>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</si>
  <si>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</si>
  <si>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</si>
  <si>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</si>
  <si>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</si>
  <si>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</si>
  <si>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</si>
  <si>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</si>
  <si>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</si>
  <si>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</si>
  <si>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</si>
  <si>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</si>
  <si>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</si>
  <si>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</si>
  <si>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</si>
  <si>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</si>
  <si>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</si>
  <si>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</si>
  <si>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</si>
  <si>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</si>
  <si>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</si>
  <si>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</si>
  <si>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</si>
  <si>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</si>
  <si>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</si>
  <si>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</si>
  <si>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</si>
  <si>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</si>
  <si>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</si>
  <si>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</si>
  <si>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</si>
  <si>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</si>
  <si>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</si>
  <si>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</si>
  <si>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</si>
  <si>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</si>
  <si>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</si>
  <si>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</si>
  <si>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</si>
  <si>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</si>
  <si>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</si>
  <si>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</si>
  <si>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</si>
  <si>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</si>
  <si>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</si>
  <si>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</si>
  <si>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</si>
  <si>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</si>
  <si>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</si>
  <si>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</si>
  <si>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</si>
  <si>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</si>
  <si>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</si>
  <si>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</si>
  <si>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</si>
  <si>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</si>
  <si>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</si>
  <si>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</si>
  <si>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</si>
  <si>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</si>
  <si>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</si>
  <si>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</si>
  <si>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</si>
  <si>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</si>
  <si>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</si>
  <si>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</si>
  <si>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</si>
  <si>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</si>
  <si>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</si>
  <si>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</si>
  <si>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</si>
  <si>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</si>
  <si>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</si>
  <si>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</si>
  <si>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</si>
  <si>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</si>
  <si>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</si>
  <si>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</si>
  <si>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</si>
  <si>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</si>
  <si>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</si>
  <si>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</si>
  <si>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</si>
  <si>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</si>
  <si>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</si>
  <si>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</si>
  <si>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</si>
  <si>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</si>
  <si>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</si>
  <si>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</si>
  <si>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</si>
  <si>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</si>
  <si>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</si>
  <si>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</si>
  <si>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</si>
  <si>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</si>
  <si>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</si>
  <si>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</si>
  <si>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</si>
  <si>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</si>
  <si>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</si>
  <si>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</si>
  <si>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</si>
  <si>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</si>
  <si>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</si>
  <si>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</si>
  <si>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</si>
  <si>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</si>
  <si>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</si>
  <si>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</si>
  <si>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</si>
  <si>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</si>
  <si>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</si>
  <si>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</si>
  <si>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</si>
  <si>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</si>
  <si>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</si>
  <si>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</si>
  <si>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</si>
  <si>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</si>
  <si>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</si>
  <si>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</si>
  <si>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</si>
  <si>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</si>
  <si>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</si>
  <si>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</si>
  <si>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</si>
  <si>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</si>
  <si>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</si>
  <si>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</si>
  <si>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</si>
  <si>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</si>
  <si>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</si>
  <si>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</si>
  <si>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</si>
  <si>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</si>
  <si>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</si>
  <si>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</si>
  <si>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</si>
  <si>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</si>
  <si>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</si>
  <si>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</si>
  <si>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</si>
  <si>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</si>
  <si>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</si>
  <si>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</si>
  <si>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</si>
  <si>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</si>
  <si>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</si>
  <si>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</si>
  <si>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</si>
  <si>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</si>
  <si>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</si>
  <si>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</si>
  <si>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</si>
  <si>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</si>
  <si>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</si>
  <si>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</si>
  <si>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</si>
  <si>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</si>
  <si>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</si>
  <si>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</si>
  <si>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</si>
  <si>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</si>
  <si>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</si>
  <si>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</si>
  <si>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</si>
  <si>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</si>
  <si>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</si>
  <si>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</si>
  <si>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</si>
  <si>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</si>
  <si>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</si>
  <si>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</si>
  <si>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</si>
  <si>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</si>
  <si>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</si>
  <si>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</si>
  <si>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</si>
  <si>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</si>
  <si>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</si>
  <si>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</si>
  <si>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</si>
  <si>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</si>
  <si>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</si>
  <si>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</si>
  <si>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</si>
  <si>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</si>
  <si>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</si>
  <si>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</si>
  <si>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</si>
  <si>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</si>
  <si>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</si>
  <si>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</si>
  <si>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</si>
  <si>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</si>
  <si>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</si>
  <si>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</si>
  <si>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</si>
  <si>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</si>
  <si>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</si>
  <si>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</si>
  <si>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</si>
  <si>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</si>
  <si>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</si>
  <si>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</si>
  <si>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</si>
  <si>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</si>
  <si>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</si>
  <si>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</si>
  <si>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</si>
  <si>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</si>
  <si>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</si>
  <si>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</si>
  <si>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</si>
  <si>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</si>
  <si>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</si>
  <si>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</si>
  <si>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</si>
  <si>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</si>
  <si>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</si>
  <si>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</si>
  <si>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</si>
  <si>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</si>
  <si>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</si>
  <si>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</si>
  <si>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</si>
  <si>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</si>
  <si>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</si>
  <si>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</si>
  <si>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</si>
  <si>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</si>
  <si>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</si>
  <si>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</si>
  <si>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</si>
  <si>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</si>
  <si>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</si>
  <si>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</si>
  <si>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</si>
  <si>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</si>
  <si>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</si>
  <si>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</si>
  <si>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</si>
  <si>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</si>
  <si>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</si>
  <si>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</si>
  <si>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</si>
  <si>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</si>
  <si>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</si>
  <si>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</si>
  <si>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</si>
  <si>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</si>
  <si>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</si>
  <si>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</si>
  <si>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</si>
  <si>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</si>
  <si>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</si>
  <si>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</si>
  <si>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</si>
  <si>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</si>
  <si>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</si>
  <si>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</si>
  <si>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</si>
  <si>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</si>
  <si>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</si>
  <si>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</si>
  <si>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</si>
  <si>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</si>
  <si>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</si>
  <si>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</si>
  <si>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</si>
  <si>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</si>
  <si>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</si>
  <si>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</si>
  <si>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</si>
  <si>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</si>
  <si>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</si>
  <si>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</si>
  <si>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</si>
  <si>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</si>
  <si>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</si>
  <si>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</si>
  <si>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</si>
  <si>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</si>
  <si>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</si>
  <si>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</si>
  <si>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</si>
  <si>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</si>
  <si>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</si>
  <si>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</si>
  <si>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</si>
  <si>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</si>
  <si>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</si>
  <si>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</si>
  <si>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</si>
  <si>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</si>
  <si>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</si>
  <si>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</si>
  <si>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</si>
  <si>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</si>
  <si>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</si>
  <si>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</si>
  <si>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</si>
  <si>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</si>
  <si>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</si>
  <si>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</si>
  <si>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</si>
  <si>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</si>
  <si>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</si>
  <si>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</si>
  <si>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</si>
  <si>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</si>
  <si>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</si>
  <si>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</si>
  <si>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</si>
  <si>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</si>
  <si>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</si>
  <si>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</si>
  <si>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</si>
  <si>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</si>
  <si>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</si>
  <si>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</si>
  <si>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</si>
  <si>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</si>
  <si>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</si>
  <si>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</si>
  <si>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</si>
  <si>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</si>
  <si>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</si>
  <si>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</si>
  <si>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</si>
  <si>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</si>
  <si>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</si>
  <si>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</si>
  <si>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</si>
  <si>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</si>
  <si>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</si>
  <si>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</si>
  <si>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</si>
  <si>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</si>
  <si>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</si>
  <si>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</si>
  <si>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</si>
  <si>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</si>
  <si>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</si>
  <si>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</si>
  <si>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</si>
  <si>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</si>
  <si>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</si>
  <si>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</si>
  <si>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</si>
  <si>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</si>
  <si>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</si>
  <si>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</si>
  <si>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</si>
  <si>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</si>
  <si>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</si>
  <si>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</si>
  <si>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</si>
  <si>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</si>
  <si>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</si>
  <si>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</si>
  <si>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</si>
  <si>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</si>
  <si>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</si>
  <si>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</si>
  <si>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</si>
  <si>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</si>
  <si>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</si>
  <si>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</si>
  <si>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</si>
  <si>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</si>
  <si>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</si>
  <si>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</si>
  <si>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</si>
  <si>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</si>
  <si>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</si>
  <si>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</si>
  <si>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</si>
  <si>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</si>
  <si>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</si>
  <si>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</si>
  <si>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</si>
  <si>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</si>
  <si>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</si>
  <si>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</si>
  <si>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</si>
  <si>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</si>
  <si>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</si>
  <si>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</si>
  <si>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</si>
  <si>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</si>
  <si>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</si>
  <si>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</si>
  <si>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</si>
  <si>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</si>
  <si>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</si>
  <si>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</si>
  <si>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</si>
  <si>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</si>
  <si>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</si>
  <si>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</si>
  <si>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</si>
  <si>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</si>
  <si>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</si>
  <si>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</si>
  <si>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</si>
  <si>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</si>
  <si>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</si>
  <si>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</si>
  <si>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</si>
  <si>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</si>
  <si>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</si>
  <si>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</si>
  <si>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</si>
  <si>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</si>
  <si>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</si>
  <si>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</si>
  <si>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</si>
  <si>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</si>
  <si>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</si>
  <si>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</si>
  <si>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</si>
  <si>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</si>
  <si>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</si>
  <si>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</si>
  <si>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</si>
  <si>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</si>
  <si>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</si>
  <si>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</si>
  <si>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</si>
  <si>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</si>
  <si>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</si>
  <si>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</si>
  <si>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</si>
  <si>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</si>
  <si>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</si>
  <si>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</si>
  <si>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</si>
  <si>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</si>
  <si>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</si>
  <si>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</si>
  <si>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</si>
  <si>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</si>
  <si>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</si>
  <si>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</si>
  <si>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</si>
  <si>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</si>
  <si>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</si>
  <si>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</si>
  <si>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</si>
  <si>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</si>
  <si>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</si>
  <si>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</si>
  <si>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</si>
  <si>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</si>
  <si>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</si>
  <si>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</si>
  <si>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</si>
  <si>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</si>
  <si>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</si>
  <si>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</si>
  <si>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</si>
  <si>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</si>
  <si>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</si>
  <si>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</si>
  <si>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</si>
  <si>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</si>
  <si>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</si>
  <si>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</si>
  <si>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</si>
  <si>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</si>
  <si>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</si>
  <si>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</si>
  <si>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</si>
  <si>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</si>
  <si>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</si>
  <si>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</si>
  <si>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</si>
  <si>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</si>
  <si>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</si>
  <si>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</si>
  <si>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</si>
  <si>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</si>
  <si>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</si>
  <si>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</si>
  <si>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</si>
  <si>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</si>
  <si>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</si>
  <si>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</si>
  <si>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</si>
  <si>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</si>
  <si>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</si>
  <si>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</si>
  <si>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</si>
  <si>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</si>
  <si>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</si>
  <si>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</si>
  <si>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</si>
  <si>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</si>
  <si>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</si>
  <si>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</si>
  <si>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</si>
  <si>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</si>
  <si>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</si>
  <si>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</si>
  <si>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</si>
  <si>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</si>
  <si>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</si>
  <si>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</si>
  <si>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</si>
  <si>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</si>
  <si>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</si>
  <si>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</si>
  <si>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</si>
  <si>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</si>
  <si>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</si>
  <si>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</si>
  <si>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</si>
  <si>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</si>
  <si>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</si>
  <si>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</si>
  <si>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</si>
  <si>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</si>
  <si>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</si>
  <si>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</si>
  <si>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</si>
  <si>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</si>
  <si>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</si>
  <si>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</si>
  <si>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</si>
  <si>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</si>
  <si>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</si>
  <si>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</si>
  <si>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</si>
  <si>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</si>
  <si>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</si>
  <si>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</si>
  <si>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</si>
  <si>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</si>
  <si>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</si>
  <si>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</si>
  <si>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</si>
  <si>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</si>
  <si>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</si>
  <si>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</si>
  <si>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</si>
  <si>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</si>
  <si>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</si>
  <si>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</si>
  <si>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</si>
  <si>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</si>
  <si>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</si>
  <si>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</si>
  <si>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</si>
  <si>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</si>
  <si>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</si>
  <si>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</si>
  <si>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</si>
  <si>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</si>
  <si>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</si>
  <si>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</si>
  <si>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</si>
  <si>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</si>
  <si>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</si>
  <si>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</si>
  <si>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</si>
  <si>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</si>
  <si>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</si>
  <si>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</si>
  <si>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</si>
  <si>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</si>
  <si>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</si>
  <si>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</si>
  <si>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</si>
  <si>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</si>
  <si>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</si>
  <si>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</si>
  <si>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</si>
  <si>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</si>
  <si>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</si>
  <si>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</si>
  <si>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</si>
  <si>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</si>
  <si>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</si>
  <si>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</si>
  <si>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</si>
  <si>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</si>
  <si>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</si>
  <si>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</si>
  <si>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</si>
  <si>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</si>
  <si>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</si>
  <si>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</si>
  <si>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</si>
  <si>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</si>
  <si>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</si>
  <si>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</si>
  <si>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</si>
  <si>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</si>
  <si>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</si>
  <si>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</si>
  <si>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</si>
  <si>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</si>
  <si>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</si>
  <si>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</si>
  <si>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</si>
  <si>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</si>
  <si>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</si>
  <si>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</si>
  <si>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</si>
  <si>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</si>
  <si>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</si>
  <si>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</si>
  <si>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</si>
  <si>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</si>
  <si>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</si>
  <si>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</si>
  <si>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</si>
  <si>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</si>
  <si>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</si>
  <si>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</si>
  <si>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</si>
  <si>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</si>
  <si>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</si>
  <si>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</si>
  <si>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</si>
  <si>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</si>
  <si>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</si>
  <si>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</si>
  <si>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</si>
  <si>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</si>
  <si>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</si>
  <si>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</si>
  <si>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</si>
  <si>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</si>
  <si>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</si>
  <si>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</si>
  <si>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</si>
  <si>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</si>
  <si>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</si>
  <si>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</si>
  <si>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</si>
  <si>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</si>
  <si>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</si>
  <si>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</si>
  <si>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</si>
  <si>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</si>
  <si>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</si>
  <si>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</si>
  <si>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</si>
  <si>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</si>
  <si>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</si>
  <si>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</si>
  <si>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</si>
  <si>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</si>
  <si>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</si>
  <si>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</si>
  <si>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</si>
  <si>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</si>
  <si>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</si>
  <si>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</si>
  <si>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</si>
  <si>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</si>
  <si>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</si>
  <si>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</si>
  <si>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</si>
  <si>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</si>
  <si>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</si>
  <si>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</si>
  <si>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</si>
  <si>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</si>
  <si>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</si>
  <si>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</si>
  <si>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</si>
  <si>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</si>
  <si>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</si>
  <si>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</si>
  <si>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</si>
  <si>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</si>
  <si>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</si>
  <si>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</si>
  <si>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</si>
  <si>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</si>
  <si>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</si>
  <si>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</si>
  <si>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</si>
  <si>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</si>
  <si>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</si>
  <si>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</si>
  <si>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</si>
  <si>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</si>
  <si>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</si>
  <si>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</si>
  <si>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</si>
  <si>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</si>
  <si>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</si>
  <si>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</si>
  <si>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</si>
  <si>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</si>
  <si>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</si>
  <si>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</si>
  <si>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</si>
  <si>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</si>
  <si>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</si>
  <si>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</si>
  <si>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</si>
  <si>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</si>
  <si>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</si>
  <si>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</si>
  <si>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</si>
  <si>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</si>
  <si>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SAU 57 - Salem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</si>
</sst>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4" fontId="2" fillId="0" borderId="0" xfId="0" applyNumberFormat="1" applyFont="1" applyProtection="1">
      <protection locked="0"/>
    </xf>
    <xf numFmtId="44" fontId="2" fillId="0" borderId="6" xfId="0" applyNumberFormat="1" applyFont="1" applyBorder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5" t="s">
        <v>912</v>
      </c>
      <c r="B2" s="21">
        <v>473</v>
      </c>
      <c r="C2" s="21">
        <v>473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281</v>
      </c>
      <c r="G6" s="224" t="s">
        <v>282</v>
      </c>
      <c r="H6" s="224" t="s">
        <v>283</v>
      </c>
      <c r="I6" s="224" t="s">
        <v>284</v>
      </c>
      <c r="J6" s="224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4"/>
      <c r="G7" s="225"/>
      <c r="H7" s="224" t="s">
        <v>772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2315459.3199999998</v>
      </c>
      <c r="G9" s="18">
        <v>4402.6000000000004</v>
      </c>
      <c r="H9" s="18"/>
      <c r="I9" s="18">
        <v>22758433.899999999</v>
      </c>
      <c r="J9" s="66">
        <f>SUM(I439)</f>
        <v>0</v>
      </c>
      <c r="K9" s="24" t="s">
        <v>289</v>
      </c>
      <c r="L9" s="24" t="s">
        <v>289</v>
      </c>
      <c r="M9" s="8"/>
      <c r="N9" s="271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6">
        <f>SUM(I440)</f>
        <v>166118.66</v>
      </c>
      <c r="K10" s="24" t="s">
        <v>289</v>
      </c>
      <c r="L10" s="24" t="s">
        <v>289</v>
      </c>
      <c r="M10" s="8"/>
      <c r="N10" s="271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1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46353.790000000037</v>
      </c>
      <c r="G12" s="18">
        <v>60214.030000000006</v>
      </c>
      <c r="H12" s="18">
        <v>140123.62</v>
      </c>
      <c r="I12" s="18"/>
      <c r="J12" s="66">
        <f>SUM(I441)</f>
        <v>19264.5</v>
      </c>
      <c r="K12" s="24" t="s">
        <v>289</v>
      </c>
      <c r="L12" s="24" t="s">
        <v>289</v>
      </c>
      <c r="M12" s="8"/>
      <c r="N12" s="271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206277.75</v>
      </c>
      <c r="G13" s="18">
        <v>13405.89</v>
      </c>
      <c r="H13" s="18">
        <v>362388.77</v>
      </c>
      <c r="I13" s="18">
        <v>616103.30000000005</v>
      </c>
      <c r="J13" s="66">
        <f>SUM(I442)</f>
        <v>0</v>
      </c>
      <c r="K13" s="24" t="s">
        <v>289</v>
      </c>
      <c r="L13" s="24" t="s">
        <v>289</v>
      </c>
      <c r="M13" s="8"/>
      <c r="N13" s="271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2769</v>
      </c>
      <c r="G14" s="18"/>
      <c r="H14" s="18"/>
      <c r="I14" s="18"/>
      <c r="J14" s="66">
        <f>SUM(I443)</f>
        <v>0</v>
      </c>
      <c r="K14" s="24" t="s">
        <v>289</v>
      </c>
      <c r="L14" s="24" t="s">
        <v>289</v>
      </c>
      <c r="M14" s="8"/>
      <c r="N14" s="271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1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1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6">
        <f>SUM(I444)</f>
        <v>0</v>
      </c>
      <c r="K17" s="24" t="s">
        <v>289</v>
      </c>
      <c r="L17" s="24" t="s">
        <v>289</v>
      </c>
      <c r="M17" s="8"/>
      <c r="N17" s="271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4"/>
      <c r="I18" s="18"/>
      <c r="J18" s="66">
        <f>SUM(I445)</f>
        <v>0</v>
      </c>
      <c r="K18" s="24" t="s">
        <v>289</v>
      </c>
      <c r="L18" s="24" t="s">
        <v>289</v>
      </c>
      <c r="M18" s="8"/>
      <c r="N18" s="271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2570859.86</v>
      </c>
      <c r="G19" s="41">
        <f>SUM(G9:G18)</f>
        <v>78022.52</v>
      </c>
      <c r="H19" s="41">
        <f>SUM(H9:H18)</f>
        <v>502512.39</v>
      </c>
      <c r="I19" s="41">
        <f>SUM(I9:I18)</f>
        <v>23374537.199999999</v>
      </c>
      <c r="J19" s="41">
        <f>SUM(J9:J18)</f>
        <v>185383.16</v>
      </c>
      <c r="K19" s="45" t="s">
        <v>289</v>
      </c>
      <c r="L19" s="45" t="s">
        <v>289</v>
      </c>
      <c r="M19" s="8"/>
      <c r="N19" s="271"/>
    </row>
    <row r="20" spans="1:14" s="3" customFormat="1" ht="12" customHeight="1" x14ac:dyDescent="0.15">
      <c r="A20" s="1" t="s">
        <v>455</v>
      </c>
      <c r="C20" s="158"/>
      <c r="F20" s="13"/>
      <c r="G20" s="13"/>
      <c r="H20" s="13"/>
      <c r="I20" s="13"/>
      <c r="J20" s="13"/>
      <c r="K20" s="13"/>
      <c r="L20" s="13"/>
      <c r="M20" s="8"/>
      <c r="N20" s="271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1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246691.44</v>
      </c>
      <c r="I22" s="18"/>
      <c r="J22" s="66">
        <f>SUM(I448)</f>
        <v>0</v>
      </c>
      <c r="K22" s="24" t="s">
        <v>289</v>
      </c>
      <c r="L22" s="24" t="s">
        <v>289</v>
      </c>
      <c r="M22" s="8"/>
      <c r="N22" s="271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6">
        <f>SUM(I449)</f>
        <v>0</v>
      </c>
      <c r="K23" s="24" t="s">
        <v>289</v>
      </c>
      <c r="L23" s="24" t="s">
        <v>289</v>
      </c>
      <c r="M23" s="8"/>
      <c r="N23" s="271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118088.96000000001</v>
      </c>
      <c r="G24" s="18">
        <v>3622.3</v>
      </c>
      <c r="H24" s="18">
        <v>33755.5</v>
      </c>
      <c r="I24" s="18"/>
      <c r="J24" s="66">
        <f>SUM(I450)</f>
        <v>0</v>
      </c>
      <c r="K24" s="24" t="s">
        <v>289</v>
      </c>
      <c r="L24" s="24" t="s">
        <v>289</v>
      </c>
      <c r="M24" s="8"/>
      <c r="N24" s="271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4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1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1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1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1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106872.53</v>
      </c>
      <c r="G29" s="18">
        <v>1358.74</v>
      </c>
      <c r="H29" s="18">
        <v>26332.42</v>
      </c>
      <c r="I29" s="18"/>
      <c r="J29" s="24" t="s">
        <v>289</v>
      </c>
      <c r="K29" s="24" t="s">
        <v>289</v>
      </c>
      <c r="L29" s="24" t="s">
        <v>289</v>
      </c>
      <c r="M29" s="8"/>
      <c r="N29" s="271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1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6">
        <f>SUM(I451)</f>
        <v>0</v>
      </c>
      <c r="K31" s="24" t="s">
        <v>289</v>
      </c>
      <c r="L31" s="24" t="s">
        <v>289</v>
      </c>
      <c r="M31" s="8"/>
      <c r="N31" s="271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224961.49</v>
      </c>
      <c r="G32" s="41">
        <f>SUM(G22:G31)</f>
        <v>4981.04</v>
      </c>
      <c r="H32" s="41">
        <f>SUM(H22:H31)</f>
        <v>306779.36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1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1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1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1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1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1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1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1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1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1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1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1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1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1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f>494967+94558</f>
        <v>589525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1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1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206927.15</v>
      </c>
      <c r="G48" s="18">
        <v>73041.48</v>
      </c>
      <c r="H48" s="18">
        <v>195733.03</v>
      </c>
      <c r="I48" s="18">
        <v>23125580.239999998</v>
      </c>
      <c r="J48" s="13">
        <f>SUM(I459)</f>
        <v>185383.16</v>
      </c>
      <c r="K48" s="24" t="s">
        <v>289</v>
      </c>
      <c r="L48" s="24" t="s">
        <v>289</v>
      </c>
      <c r="M48" s="8"/>
      <c r="N48" s="271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147971.74</v>
      </c>
      <c r="G49" s="18"/>
      <c r="H49" s="18"/>
      <c r="I49" s="18">
        <v>248956.96</v>
      </c>
      <c r="J49" s="13">
        <f>I454</f>
        <v>0</v>
      </c>
      <c r="K49" s="24"/>
      <c r="L49" s="24"/>
      <c r="M49" s="8"/>
      <c r="N49" s="271"/>
    </row>
    <row r="50" spans="1:14" s="3" customFormat="1" ht="12" customHeight="1" thickBot="1" x14ac:dyDescent="0.2">
      <c r="A50" s="29" t="s">
        <v>856</v>
      </c>
      <c r="B50" s="2" t="s">
        <v>290</v>
      </c>
      <c r="C50" s="70">
        <v>35</v>
      </c>
      <c r="D50" s="2" t="s">
        <v>657</v>
      </c>
      <c r="E50" s="6">
        <v>770</v>
      </c>
      <c r="F50" s="18">
        <f>F19-F32-F46-F48-F49</f>
        <v>1401474.4800000002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1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2345898.37</v>
      </c>
      <c r="G51" s="41">
        <f>SUM(G35:G50)</f>
        <v>73041.48</v>
      </c>
      <c r="H51" s="41">
        <f>SUM(H35:H50)</f>
        <v>195733.03</v>
      </c>
      <c r="I51" s="41">
        <f>SUM(I35:I50)</f>
        <v>23374537.199999999</v>
      </c>
      <c r="J51" s="41">
        <f>SUM(J35:J50)</f>
        <v>185383.16</v>
      </c>
      <c r="K51" s="45" t="s">
        <v>289</v>
      </c>
      <c r="L51" s="45" t="s">
        <v>289</v>
      </c>
      <c r="N51" s="269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2570859.8600000003</v>
      </c>
      <c r="G52" s="41">
        <f>G51+G32</f>
        <v>78022.51999999999</v>
      </c>
      <c r="H52" s="41">
        <f>H51+H32</f>
        <v>502512.39</v>
      </c>
      <c r="I52" s="41">
        <f>I51+I32</f>
        <v>23374537.199999999</v>
      </c>
      <c r="J52" s="41">
        <f>J51+J32</f>
        <v>185383.16</v>
      </c>
      <c r="K52" s="45" t="s">
        <v>289</v>
      </c>
      <c r="L52" s="45" t="s">
        <v>289</v>
      </c>
      <c r="M52" s="8"/>
      <c r="N52" s="271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1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1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1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1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42042634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1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1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2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42042634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2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1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1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336017.5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1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29232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1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2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62190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1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1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112133.51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1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42945.19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1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87200.4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1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1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1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1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1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1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1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1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39000</v>
      </c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69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708718.6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1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1"/>
    </row>
    <row r="81" spans="1:14" s="3" customFormat="1" ht="12" customHeight="1" x14ac:dyDescent="0.2">
      <c r="A81" s="169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1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1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1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1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1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1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1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1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1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1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1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1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1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1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1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1110.2</v>
      </c>
      <c r="G96" s="18"/>
      <c r="H96" s="18"/>
      <c r="I96" s="18">
        <v>31005.25</v>
      </c>
      <c r="J96" s="18">
        <v>16.48</v>
      </c>
      <c r="K96" s="24" t="s">
        <v>289</v>
      </c>
      <c r="L96" s="24" t="s">
        <v>289</v>
      </c>
      <c r="M96" s="8"/>
      <c r="N96" s="271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1064036.77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1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1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1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1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18116.16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1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47066.99</v>
      </c>
      <c r="I102" s="18"/>
      <c r="J102" s="18">
        <v>19264.5</v>
      </c>
      <c r="K102" s="24" t="s">
        <v>289</v>
      </c>
      <c r="L102" s="24" t="s">
        <v>289</v>
      </c>
      <c r="M102" s="8"/>
      <c r="N102" s="271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1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1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1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1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1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1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1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826670.35000000009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1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845896.71000000008</v>
      </c>
      <c r="G111" s="41">
        <f>SUM(G96:G110)</f>
        <v>1064036.77</v>
      </c>
      <c r="H111" s="41">
        <f>SUM(H96:H110)</f>
        <v>47066.99</v>
      </c>
      <c r="I111" s="41">
        <f>SUM(I96:I110)</f>
        <v>31005.25</v>
      </c>
      <c r="J111" s="41">
        <f>SUM(J96:J110)</f>
        <v>19280.98</v>
      </c>
      <c r="K111" s="45" t="s">
        <v>289</v>
      </c>
      <c r="L111" s="45" t="s">
        <v>289</v>
      </c>
      <c r="N111" s="269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43597249.310000002</v>
      </c>
      <c r="G112" s="41">
        <f>G60+G111</f>
        <v>1064036.77</v>
      </c>
      <c r="H112" s="41">
        <f>H60+H79+H94+H111</f>
        <v>47066.99</v>
      </c>
      <c r="I112" s="41">
        <f>I60+I111</f>
        <v>31005.25</v>
      </c>
      <c r="J112" s="41">
        <f>J60+J111</f>
        <v>19280.98</v>
      </c>
      <c r="K112" s="45" t="s">
        <v>289</v>
      </c>
      <c r="L112" s="45" t="s">
        <v>289</v>
      </c>
      <c r="M112" s="8"/>
      <c r="N112" s="271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1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1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1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1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5711993.9900000002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1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9448622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1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1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1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15160615.99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1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1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517214.1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1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1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1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867895.68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1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242156.82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1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6080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1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1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1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1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13208.39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1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1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1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23468.3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1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1656814.9000000001</v>
      </c>
      <c r="G136" s="41">
        <f>SUM(G123:G135)</f>
        <v>13208.39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1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1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1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1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16817430.890000001</v>
      </c>
      <c r="G140" s="41">
        <f>G121+SUM(G136:G137)</f>
        <v>13208.39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1"/>
    </row>
    <row r="141" spans="1:14" s="3" customFormat="1" ht="12" customHeight="1" x14ac:dyDescent="0.2">
      <c r="A141" s="69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1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1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3" t="s">
        <v>772</v>
      </c>
      <c r="I143" s="16" t="s">
        <v>284</v>
      </c>
      <c r="J143" s="16" t="s">
        <v>285</v>
      </c>
      <c r="K143" s="20"/>
      <c r="L143" s="20"/>
      <c r="M143" s="8"/>
      <c r="N143" s="271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1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1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>
        <v>3939703.6799999997</v>
      </c>
      <c r="J146" s="24" t="s">
        <v>289</v>
      </c>
      <c r="K146" s="24" t="s">
        <v>289</v>
      </c>
      <c r="L146" s="24" t="s">
        <v>289</v>
      </c>
      <c r="M146" s="8"/>
      <c r="N146" s="271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3939703.6799999997</v>
      </c>
      <c r="J147" s="45" t="s">
        <v>289</v>
      </c>
      <c r="K147" s="45" t="s">
        <v>289</v>
      </c>
      <c r="L147" s="45" t="s">
        <v>289</v>
      </c>
      <c r="M147" s="8"/>
      <c r="N147" s="271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1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1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1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51017.42</v>
      </c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1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1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1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444414.77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1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227027.54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1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177601.53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1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185373.39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1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315601.59999999998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1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761971.93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1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665135.03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1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1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716152.45000000007</v>
      </c>
      <c r="G162" s="41">
        <f>SUM(G150:G161)</f>
        <v>315601.59999999998</v>
      </c>
      <c r="H162" s="41">
        <f>SUM(H150:H161)</f>
        <v>1796389.1600000001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1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1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1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1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1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1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1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716152.45000000007</v>
      </c>
      <c r="G169" s="41">
        <f>G147+G162+SUM(G163:G168)</f>
        <v>315601.59999999998</v>
      </c>
      <c r="H169" s="41">
        <f>H147+H162+SUM(H163:H168)</f>
        <v>1796389.1600000001</v>
      </c>
      <c r="I169" s="41">
        <f>I147+I162+SUM(I163:I168)</f>
        <v>3939703.6799999997</v>
      </c>
      <c r="J169" s="45" t="s">
        <v>289</v>
      </c>
      <c r="K169" s="45" t="s">
        <v>289</v>
      </c>
      <c r="L169" s="45" t="s">
        <v>289</v>
      </c>
      <c r="M169" s="8"/>
      <c r="N169" s="271"/>
    </row>
    <row r="170" spans="1:14" s="3" customFormat="1" ht="12" customHeight="1" x14ac:dyDescent="0.2">
      <c r="A170" s="69"/>
      <c r="B170" s="36"/>
      <c r="C170" s="74"/>
      <c r="D170" s="74"/>
      <c r="E170" s="74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1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1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3" t="s">
        <v>772</v>
      </c>
      <c r="I172" s="16" t="s">
        <v>284</v>
      </c>
      <c r="J172" s="16" t="s">
        <v>285</v>
      </c>
      <c r="K172" s="20"/>
      <c r="L172" s="20"/>
      <c r="M172" s="8"/>
      <c r="N172" s="271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>
        <v>22545562.879999999</v>
      </c>
      <c r="J173" s="24" t="s">
        <v>289</v>
      </c>
      <c r="K173" s="24" t="s">
        <v>289</v>
      </c>
      <c r="L173" s="24" t="s">
        <v>289</v>
      </c>
      <c r="M173" s="8"/>
      <c r="N173" s="271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1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1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1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22545562.879999999</v>
      </c>
      <c r="J177" s="45" t="s">
        <v>289</v>
      </c>
      <c r="K177" s="45" t="s">
        <v>289</v>
      </c>
      <c r="L177" s="45" t="s">
        <v>289</v>
      </c>
      <c r="M177" s="8"/>
      <c r="N177" s="271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1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1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1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21414.52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1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1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21414.52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1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1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1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1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69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69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1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1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1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5" t="s">
        <v>431</v>
      </c>
      <c r="E192" s="51">
        <v>5000</v>
      </c>
      <c r="F192" s="41">
        <f>F177+F183+SUM(F188:F191)</f>
        <v>21414.52</v>
      </c>
      <c r="G192" s="41">
        <f>G183+SUM(G188:G191)</f>
        <v>0</v>
      </c>
      <c r="H192" s="41">
        <f>+H183+SUM(H188:H191)</f>
        <v>0</v>
      </c>
      <c r="I192" s="41">
        <f>I177+I183+SUM(I188:I191)</f>
        <v>22545562.879999999</v>
      </c>
      <c r="J192" s="41">
        <f>J183</f>
        <v>0</v>
      </c>
      <c r="K192" s="45" t="s">
        <v>289</v>
      </c>
      <c r="L192" s="45" t="s">
        <v>289</v>
      </c>
      <c r="M192" s="8"/>
      <c r="N192" s="271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6" t="s">
        <v>431</v>
      </c>
      <c r="E193" s="44"/>
      <c r="F193" s="47">
        <f>F112+F140+F169+F192</f>
        <v>61152247.170000009</v>
      </c>
      <c r="G193" s="47">
        <f>G112+G140+G169+G192</f>
        <v>1392846.7599999998</v>
      </c>
      <c r="H193" s="47">
        <f>H112+H140+H169+H192</f>
        <v>1843456.1500000001</v>
      </c>
      <c r="I193" s="47">
        <f>I112+I140+I169+I192</f>
        <v>26516271.809999999</v>
      </c>
      <c r="J193" s="47">
        <f>J112+J140+J192</f>
        <v>19280.98</v>
      </c>
      <c r="K193" s="45" t="s">
        <v>289</v>
      </c>
      <c r="L193" s="45" t="s">
        <v>289</v>
      </c>
      <c r="M193" s="8"/>
      <c r="N193" s="271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6" t="s">
        <v>693</v>
      </c>
      <c r="G194" s="176" t="s">
        <v>694</v>
      </c>
      <c r="H194" s="176" t="s">
        <v>695</v>
      </c>
      <c r="I194" s="176" t="s">
        <v>696</v>
      </c>
      <c r="J194" s="176" t="s">
        <v>697</v>
      </c>
      <c r="K194" s="176" t="s">
        <v>698</v>
      </c>
      <c r="L194" s="56"/>
      <c r="M194" s="8"/>
      <c r="N194" s="271"/>
    </row>
    <row r="195" spans="1:14" s="3" customFormat="1" ht="12" customHeight="1" x14ac:dyDescent="0.15">
      <c r="A195" s="29" t="s">
        <v>452</v>
      </c>
      <c r="F195" s="102" t="s">
        <v>54</v>
      </c>
      <c r="G195" s="102" t="s">
        <v>55</v>
      </c>
      <c r="H195" s="102" t="s">
        <v>56</v>
      </c>
      <c r="I195" s="102" t="s">
        <v>57</v>
      </c>
      <c r="J195" s="102" t="s">
        <v>58</v>
      </c>
      <c r="K195" s="102" t="s">
        <v>59</v>
      </c>
      <c r="L195" s="102" t="s">
        <v>5</v>
      </c>
      <c r="M195" s="8"/>
      <c r="N195" s="271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1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6759320.5300000003</v>
      </c>
      <c r="G197" s="18">
        <v>3018348.52</v>
      </c>
      <c r="H197" s="18">
        <v>3235.6</v>
      </c>
      <c r="I197" s="18">
        <v>185370.45</v>
      </c>
      <c r="J197" s="18">
        <v>47170.19</v>
      </c>
      <c r="K197" s="18">
        <v>120</v>
      </c>
      <c r="L197" s="19">
        <f>SUM(F197:K197)</f>
        <v>10013565.289999999</v>
      </c>
      <c r="M197" s="8"/>
      <c r="N197" s="271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2556189.2000000002</v>
      </c>
      <c r="G198" s="18">
        <v>889557.45</v>
      </c>
      <c r="H198" s="18">
        <v>187483.3</v>
      </c>
      <c r="I198" s="18">
        <v>22653.79</v>
      </c>
      <c r="J198" s="18">
        <v>2846.81</v>
      </c>
      <c r="K198" s="18">
        <v>628.77</v>
      </c>
      <c r="L198" s="19">
        <f>SUM(F198:K198)</f>
        <v>3659359.3200000003</v>
      </c>
      <c r="M198" s="8"/>
      <c r="N198" s="271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1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14366.1</v>
      </c>
      <c r="G200" s="18">
        <v>2934.25</v>
      </c>
      <c r="H200" s="18"/>
      <c r="I200" s="18">
        <v>991.91</v>
      </c>
      <c r="J200" s="18"/>
      <c r="K200" s="18"/>
      <c r="L200" s="19">
        <f>SUM(F200:K200)</f>
        <v>18292.259999999998</v>
      </c>
      <c r="M200" s="8"/>
      <c r="N200" s="271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1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1503268.56</v>
      </c>
      <c r="G202" s="18">
        <v>710497.62</v>
      </c>
      <c r="H202" s="18">
        <v>236802.97</v>
      </c>
      <c r="I202" s="18">
        <v>20026.849999999999</v>
      </c>
      <c r="J202" s="18"/>
      <c r="K202" s="18"/>
      <c r="L202" s="19">
        <f t="shared" ref="L202:L208" si="0">SUM(F202:K202)</f>
        <v>2470596.0000000005</v>
      </c>
      <c r="M202" s="8"/>
      <c r="N202" s="271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435940.65</v>
      </c>
      <c r="G203" s="18">
        <v>156237.04999999999</v>
      </c>
      <c r="H203" s="18">
        <v>53098.239999999998</v>
      </c>
      <c r="I203" s="18">
        <v>104804.16</v>
      </c>
      <c r="J203" s="18">
        <v>115723.13</v>
      </c>
      <c r="K203" s="18"/>
      <c r="L203" s="19">
        <f t="shared" si="0"/>
        <v>865803.23</v>
      </c>
      <c r="M203" s="8"/>
      <c r="N203" s="271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213201.65</v>
      </c>
      <c r="G204" s="18">
        <v>93196.85</v>
      </c>
      <c r="H204" s="18">
        <v>83522.58</v>
      </c>
      <c r="I204" s="18">
        <v>3464.12</v>
      </c>
      <c r="J204" s="18"/>
      <c r="K204" s="18">
        <v>4566.09</v>
      </c>
      <c r="L204" s="19">
        <f t="shared" si="0"/>
        <v>397951.29000000004</v>
      </c>
      <c r="M204" s="8"/>
      <c r="N204" s="271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631336.16</v>
      </c>
      <c r="G205" s="18">
        <v>330386.3</v>
      </c>
      <c r="H205" s="18">
        <v>103206.19</v>
      </c>
      <c r="I205" s="18">
        <v>12424.52</v>
      </c>
      <c r="J205" s="18"/>
      <c r="K205" s="18">
        <v>1977</v>
      </c>
      <c r="L205" s="19">
        <f t="shared" si="0"/>
        <v>1079330.17</v>
      </c>
      <c r="M205" s="8"/>
      <c r="N205" s="271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132361.76</v>
      </c>
      <c r="G206" s="18">
        <v>74326</v>
      </c>
      <c r="H206" s="18">
        <v>11194.83</v>
      </c>
      <c r="I206" s="18"/>
      <c r="J206" s="18"/>
      <c r="K206" s="18"/>
      <c r="L206" s="19">
        <f t="shared" si="0"/>
        <v>217882.59</v>
      </c>
      <c r="M206" s="8"/>
      <c r="N206" s="271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514293.13</v>
      </c>
      <c r="G207" s="18">
        <v>276790.82</v>
      </c>
      <c r="H207" s="18">
        <v>381838.48</v>
      </c>
      <c r="I207" s="18">
        <v>515754.45</v>
      </c>
      <c r="J207" s="18">
        <v>9297.83</v>
      </c>
      <c r="K207" s="18"/>
      <c r="L207" s="19">
        <f t="shared" si="0"/>
        <v>1697974.71</v>
      </c>
      <c r="M207" s="8"/>
      <c r="N207" s="271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1129380.1599999999</v>
      </c>
      <c r="I208" s="18"/>
      <c r="J208" s="18"/>
      <c r="K208" s="18"/>
      <c r="L208" s="19">
        <f t="shared" si="0"/>
        <v>1129380.1599999999</v>
      </c>
      <c r="M208" s="8"/>
      <c r="N208" s="271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20528.61</v>
      </c>
      <c r="G209" s="18">
        <v>110275.46</v>
      </c>
      <c r="H209" s="18">
        <v>37337.769999999997</v>
      </c>
      <c r="I209" s="18">
        <v>9867.74</v>
      </c>
      <c r="J209" s="18"/>
      <c r="K209" s="18">
        <v>4352</v>
      </c>
      <c r="L209" s="19">
        <f>SUM(F209:K209)</f>
        <v>182361.58</v>
      </c>
      <c r="M209" s="8"/>
      <c r="N209" s="271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1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12780806.350000001</v>
      </c>
      <c r="G211" s="41">
        <f t="shared" si="1"/>
        <v>5662550.3199999994</v>
      </c>
      <c r="H211" s="41">
        <f t="shared" si="1"/>
        <v>2227100.1199999996</v>
      </c>
      <c r="I211" s="41">
        <f t="shared" si="1"/>
        <v>875357.99</v>
      </c>
      <c r="J211" s="41">
        <f t="shared" si="1"/>
        <v>175037.96</v>
      </c>
      <c r="K211" s="41">
        <f t="shared" si="1"/>
        <v>11643.86</v>
      </c>
      <c r="L211" s="41">
        <f t="shared" si="1"/>
        <v>21732496.599999994</v>
      </c>
      <c r="M211" s="8"/>
      <c r="N211" s="271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6" t="s">
        <v>693</v>
      </c>
      <c r="G212" s="176" t="s">
        <v>694</v>
      </c>
      <c r="H212" s="176" t="s">
        <v>695</v>
      </c>
      <c r="I212" s="176" t="s">
        <v>696</v>
      </c>
      <c r="J212" s="176" t="s">
        <v>697</v>
      </c>
      <c r="K212" s="176" t="s">
        <v>698</v>
      </c>
      <c r="L212" s="66"/>
      <c r="M212" s="8"/>
      <c r="N212" s="271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2" t="s">
        <v>54</v>
      </c>
      <c r="G213" s="102" t="s">
        <v>55</v>
      </c>
      <c r="H213" s="102" t="s">
        <v>56</v>
      </c>
      <c r="I213" s="102" t="s">
        <v>57</v>
      </c>
      <c r="J213" s="102" t="s">
        <v>58</v>
      </c>
      <c r="K213" s="102" t="s">
        <v>59</v>
      </c>
      <c r="L213" s="102" t="s">
        <v>5</v>
      </c>
      <c r="M213" s="8"/>
      <c r="N213" s="271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1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3765066.91</v>
      </c>
      <c r="G215" s="18">
        <v>1737600.65</v>
      </c>
      <c r="H215" s="18">
        <v>327.64999999999998</v>
      </c>
      <c r="I215" s="18">
        <v>81796.649999999994</v>
      </c>
      <c r="J215" s="18">
        <v>21190.28</v>
      </c>
      <c r="K215" s="18"/>
      <c r="L215" s="19">
        <f>SUM(F215:K215)</f>
        <v>5605982.1400000015</v>
      </c>
      <c r="M215" s="8"/>
      <c r="N215" s="271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1174998.74</v>
      </c>
      <c r="G216" s="18">
        <v>495187.34</v>
      </c>
      <c r="H216" s="18">
        <v>656916.06000000006</v>
      </c>
      <c r="I216" s="18">
        <v>5005.41</v>
      </c>
      <c r="J216" s="18">
        <v>945.13</v>
      </c>
      <c r="K216" s="18">
        <v>375.74</v>
      </c>
      <c r="L216" s="19">
        <f>SUM(F216:K216)</f>
        <v>2333428.4200000004</v>
      </c>
      <c r="M216" s="8"/>
      <c r="N216" s="271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1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44">
        <v>59916.04</v>
      </c>
      <c r="G218" s="144">
        <v>19227.55</v>
      </c>
      <c r="H218" s="144">
        <v>7681.51</v>
      </c>
      <c r="I218" s="144">
        <v>6736.76</v>
      </c>
      <c r="J218" s="18"/>
      <c r="K218" s="18">
        <v>1915</v>
      </c>
      <c r="L218" s="19">
        <f>SUM(F218:K218)</f>
        <v>95476.859999999986</v>
      </c>
      <c r="M218" s="8"/>
      <c r="N218" s="271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1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451720.23</v>
      </c>
      <c r="G220" s="18">
        <v>185693.27</v>
      </c>
      <c r="H220" s="18">
        <v>95045.34</v>
      </c>
      <c r="I220" s="18">
        <v>10018.91</v>
      </c>
      <c r="J220" s="18"/>
      <c r="K220" s="18"/>
      <c r="L220" s="19">
        <f t="shared" ref="L220:L226" si="2">SUM(F220:K220)</f>
        <v>742477.75</v>
      </c>
      <c r="M220" s="8"/>
      <c r="N220" s="271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297937.56</v>
      </c>
      <c r="G221" s="18">
        <v>123105.35</v>
      </c>
      <c r="H221" s="18">
        <v>31731</v>
      </c>
      <c r="I221" s="18">
        <v>54863.83</v>
      </c>
      <c r="J221" s="18">
        <v>69155.03</v>
      </c>
      <c r="K221" s="18"/>
      <c r="L221" s="19">
        <f t="shared" si="2"/>
        <v>576792.77</v>
      </c>
      <c r="M221" s="8"/>
      <c r="N221" s="271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127407.25</v>
      </c>
      <c r="G222" s="18">
        <v>55693.54</v>
      </c>
      <c r="H222" s="18">
        <v>49912.29</v>
      </c>
      <c r="I222" s="18">
        <v>2070.13</v>
      </c>
      <c r="J222" s="18"/>
      <c r="K222" s="18">
        <v>2728.65</v>
      </c>
      <c r="L222" s="19">
        <f t="shared" si="2"/>
        <v>237811.86000000002</v>
      </c>
      <c r="M222" s="8"/>
      <c r="N222" s="271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377889.73</v>
      </c>
      <c r="G223" s="18">
        <v>213710.05</v>
      </c>
      <c r="H223" s="18">
        <v>66822.490000000005</v>
      </c>
      <c r="I223" s="18">
        <v>6450.33</v>
      </c>
      <c r="J223" s="18"/>
      <c r="K223" s="18">
        <v>762</v>
      </c>
      <c r="L223" s="19">
        <f t="shared" si="2"/>
        <v>665634.6</v>
      </c>
      <c r="M223" s="8"/>
      <c r="N223" s="271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79098.12</v>
      </c>
      <c r="G224" s="18">
        <v>44416.5</v>
      </c>
      <c r="H224" s="18">
        <v>6689.92</v>
      </c>
      <c r="I224" s="18"/>
      <c r="J224" s="18"/>
      <c r="K224" s="18"/>
      <c r="L224" s="19">
        <f t="shared" si="2"/>
        <v>130204.54</v>
      </c>
      <c r="M224" s="8"/>
      <c r="N224" s="271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267544.27</v>
      </c>
      <c r="G225" s="18">
        <v>143199.78</v>
      </c>
      <c r="H225" s="18">
        <v>211063.66</v>
      </c>
      <c r="I225" s="18">
        <v>196107.14</v>
      </c>
      <c r="J225" s="18">
        <v>5556.3</v>
      </c>
      <c r="K225" s="18"/>
      <c r="L225" s="19">
        <f t="shared" si="2"/>
        <v>823471.15000000014</v>
      </c>
      <c r="M225" s="8"/>
      <c r="N225" s="271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685361.28</v>
      </c>
      <c r="I226" s="18"/>
      <c r="J226" s="18"/>
      <c r="K226" s="18"/>
      <c r="L226" s="19">
        <f t="shared" si="2"/>
        <v>685361.28</v>
      </c>
      <c r="M226" s="8"/>
      <c r="N226" s="271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12267.7</v>
      </c>
      <c r="G227" s="18">
        <v>65899.55</v>
      </c>
      <c r="H227" s="18">
        <v>22312.69</v>
      </c>
      <c r="I227" s="18">
        <v>5896.86</v>
      </c>
      <c r="J227" s="18"/>
      <c r="K227" s="18"/>
      <c r="L227" s="19">
        <f>SUM(F227:K227)</f>
        <v>106376.8</v>
      </c>
      <c r="M227" s="8"/>
      <c r="N227" s="271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1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6613846.5499999998</v>
      </c>
      <c r="G229" s="41">
        <f>SUM(G215:G228)</f>
        <v>3083733.5799999991</v>
      </c>
      <c r="H229" s="41">
        <f>SUM(H215:H228)</f>
        <v>1833863.8900000001</v>
      </c>
      <c r="I229" s="41">
        <f>SUM(I215:I228)</f>
        <v>368946.02</v>
      </c>
      <c r="J229" s="41">
        <f>SUM(J215:J228)</f>
        <v>96846.74</v>
      </c>
      <c r="K229" s="41">
        <f t="shared" si="3"/>
        <v>5781.3899999999994</v>
      </c>
      <c r="L229" s="41">
        <f t="shared" si="3"/>
        <v>12003018.17</v>
      </c>
      <c r="M229" s="8"/>
      <c r="N229" s="271"/>
    </row>
    <row r="230" spans="1:14" s="3" customFormat="1" ht="12" customHeight="1" x14ac:dyDescent="0.15">
      <c r="A230" s="55" t="s">
        <v>466</v>
      </c>
      <c r="B230" s="36"/>
      <c r="C230" s="74"/>
      <c r="D230" s="74"/>
      <c r="E230" s="74"/>
      <c r="F230" s="176" t="s">
        <v>693</v>
      </c>
      <c r="G230" s="176" t="s">
        <v>694</v>
      </c>
      <c r="H230" s="176" t="s">
        <v>695</v>
      </c>
      <c r="I230" s="176" t="s">
        <v>696</v>
      </c>
      <c r="J230" s="176" t="s">
        <v>697</v>
      </c>
      <c r="K230" s="176" t="s">
        <v>698</v>
      </c>
      <c r="L230" s="66"/>
      <c r="M230" s="8"/>
      <c r="N230" s="271"/>
    </row>
    <row r="231" spans="1:14" s="3" customFormat="1" ht="12" customHeight="1" x14ac:dyDescent="0.15">
      <c r="A231" s="29" t="s">
        <v>454</v>
      </c>
      <c r="F231" s="102" t="s">
        <v>54</v>
      </c>
      <c r="G231" s="102" t="s">
        <v>55</v>
      </c>
      <c r="H231" s="102" t="s">
        <v>56</v>
      </c>
      <c r="I231" s="102" t="s">
        <v>57</v>
      </c>
      <c r="J231" s="102" t="s">
        <v>58</v>
      </c>
      <c r="K231" s="102" t="s">
        <v>59</v>
      </c>
      <c r="L231" s="102" t="s">
        <v>5</v>
      </c>
      <c r="M231" s="8"/>
      <c r="N231" s="271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1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5947408.2599999998</v>
      </c>
      <c r="G233" s="18">
        <v>2714231.95</v>
      </c>
      <c r="H233" s="18">
        <v>27905.56</v>
      </c>
      <c r="I233" s="18">
        <v>178015.43</v>
      </c>
      <c r="J233" s="18">
        <v>39084.39</v>
      </c>
      <c r="K233" s="18"/>
      <c r="L233" s="19">
        <f>SUM(F233:K233)</f>
        <v>8906645.5900000017</v>
      </c>
      <c r="M233" s="8"/>
      <c r="N233" s="271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1336228.6399999999</v>
      </c>
      <c r="G234" s="18">
        <v>584962.81999999995</v>
      </c>
      <c r="H234" s="18">
        <v>1404957.67</v>
      </c>
      <c r="I234" s="18">
        <v>3874.22</v>
      </c>
      <c r="J234" s="18">
        <v>4337.99</v>
      </c>
      <c r="K234" s="18">
        <v>510.59</v>
      </c>
      <c r="L234" s="19">
        <f>SUM(F234:K234)</f>
        <v>3334871.93</v>
      </c>
      <c r="M234" s="8"/>
      <c r="N234" s="271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987919.8</v>
      </c>
      <c r="G235" s="18">
        <v>488636.55</v>
      </c>
      <c r="H235" s="18">
        <v>30596.17</v>
      </c>
      <c r="I235" s="18">
        <v>83665.679999999993</v>
      </c>
      <c r="J235" s="18"/>
      <c r="K235" s="18"/>
      <c r="L235" s="19">
        <f>SUM(F235:K235)</f>
        <v>1590818.2</v>
      </c>
      <c r="M235" s="8"/>
      <c r="N235" s="271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469938.41</v>
      </c>
      <c r="G236" s="18">
        <v>121015.54</v>
      </c>
      <c r="H236" s="18">
        <v>146998.66</v>
      </c>
      <c r="I236" s="18">
        <v>49425.15</v>
      </c>
      <c r="J236" s="18">
        <v>13133</v>
      </c>
      <c r="K236" s="18">
        <v>13176</v>
      </c>
      <c r="L236" s="19">
        <f>SUM(F236:K236)</f>
        <v>813686.76</v>
      </c>
      <c r="M236" s="8"/>
      <c r="N236" s="271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1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823319.92</v>
      </c>
      <c r="G238" s="18">
        <v>370688.14</v>
      </c>
      <c r="H238" s="18">
        <v>133349.03</v>
      </c>
      <c r="I238" s="18">
        <v>18084.599999999999</v>
      </c>
      <c r="J238" s="18"/>
      <c r="K238" s="18">
        <v>774</v>
      </c>
      <c r="L238" s="19">
        <f t="shared" ref="L238:L244" si="4">SUM(F238:K238)</f>
        <v>1346215.6900000002</v>
      </c>
      <c r="M238" s="8"/>
      <c r="N238" s="271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328473.57</v>
      </c>
      <c r="G239" s="18">
        <v>122098.75</v>
      </c>
      <c r="H239" s="18">
        <v>45079.33</v>
      </c>
      <c r="I239" s="18">
        <v>81223.97</v>
      </c>
      <c r="J239" s="18">
        <v>93972.75</v>
      </c>
      <c r="K239" s="18">
        <v>128</v>
      </c>
      <c r="L239" s="19">
        <f t="shared" si="4"/>
        <v>670976.37</v>
      </c>
      <c r="M239" s="8"/>
      <c r="N239" s="271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173130.01</v>
      </c>
      <c r="G240" s="18">
        <v>75680.33</v>
      </c>
      <c r="H240" s="18">
        <v>67824.36</v>
      </c>
      <c r="I240" s="18">
        <v>2813.03</v>
      </c>
      <c r="J240" s="18"/>
      <c r="K240" s="18">
        <v>3707.88</v>
      </c>
      <c r="L240" s="19">
        <f t="shared" si="4"/>
        <v>323155.61000000004</v>
      </c>
      <c r="M240" s="8"/>
      <c r="N240" s="271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639909.66</v>
      </c>
      <c r="G241" s="18">
        <v>331619.75</v>
      </c>
      <c r="H241" s="18">
        <v>104870.23</v>
      </c>
      <c r="I241" s="18">
        <v>11583.13</v>
      </c>
      <c r="J241" s="18"/>
      <c r="K241" s="18">
        <v>5235.1000000000004</v>
      </c>
      <c r="L241" s="19">
        <f t="shared" si="4"/>
        <v>1093217.8700000001</v>
      </c>
      <c r="M241" s="8"/>
      <c r="N241" s="271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107484.13</v>
      </c>
      <c r="G242" s="18">
        <v>60356.29</v>
      </c>
      <c r="H242" s="18">
        <v>9090.74</v>
      </c>
      <c r="I242" s="18"/>
      <c r="J242" s="18"/>
      <c r="K242" s="18"/>
      <c r="L242" s="19">
        <f t="shared" si="4"/>
        <v>176931.16</v>
      </c>
      <c r="M242" s="8"/>
      <c r="N242" s="271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588185.9</v>
      </c>
      <c r="G243" s="18">
        <v>320664.59000000003</v>
      </c>
      <c r="H243" s="18">
        <v>315823.05</v>
      </c>
      <c r="I243" s="18">
        <v>559380.24</v>
      </c>
      <c r="J243" s="18">
        <v>10891.74</v>
      </c>
      <c r="K243" s="18"/>
      <c r="L243" s="19">
        <f t="shared" si="4"/>
        <v>1794945.52</v>
      </c>
      <c r="M243" s="8"/>
      <c r="N243" s="271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1003203.39</v>
      </c>
      <c r="I244" s="18"/>
      <c r="J244" s="18"/>
      <c r="K244" s="18"/>
      <c r="L244" s="19">
        <f t="shared" si="4"/>
        <v>1003203.39</v>
      </c>
      <c r="M244" s="8"/>
      <c r="N244" s="271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16670.22</v>
      </c>
      <c r="G245" s="18">
        <v>89548.99</v>
      </c>
      <c r="H245" s="18">
        <v>30320.07</v>
      </c>
      <c r="I245" s="18">
        <v>8013.08</v>
      </c>
      <c r="J245" s="18"/>
      <c r="K245" s="18"/>
      <c r="L245" s="19">
        <f>SUM(F245:K245)</f>
        <v>144552.35999999999</v>
      </c>
      <c r="M245" s="8"/>
      <c r="N245" s="271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1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11418668.520000001</v>
      </c>
      <c r="G247" s="41">
        <f t="shared" si="5"/>
        <v>5279503.7</v>
      </c>
      <c r="H247" s="41">
        <f t="shared" si="5"/>
        <v>3320018.26</v>
      </c>
      <c r="I247" s="41">
        <f t="shared" si="5"/>
        <v>996078.52999999991</v>
      </c>
      <c r="J247" s="41">
        <f t="shared" si="5"/>
        <v>161419.87</v>
      </c>
      <c r="K247" s="41">
        <f t="shared" si="5"/>
        <v>23531.57</v>
      </c>
      <c r="L247" s="41">
        <f t="shared" si="5"/>
        <v>21199220.449999999</v>
      </c>
      <c r="M247" s="8"/>
      <c r="N247" s="271"/>
    </row>
    <row r="248" spans="1:14" s="3" customFormat="1" ht="12" customHeight="1" x14ac:dyDescent="0.15">
      <c r="A248" s="69"/>
      <c r="B248" s="36"/>
      <c r="C248" s="37"/>
      <c r="D248" s="37"/>
      <c r="E248" s="37"/>
      <c r="F248" s="176" t="s">
        <v>693</v>
      </c>
      <c r="G248" s="176" t="s">
        <v>694</v>
      </c>
      <c r="H248" s="176" t="s">
        <v>695</v>
      </c>
      <c r="I248" s="176" t="s">
        <v>696</v>
      </c>
      <c r="J248" s="176" t="s">
        <v>697</v>
      </c>
      <c r="K248" s="176" t="s">
        <v>698</v>
      </c>
      <c r="L248" s="66"/>
      <c r="M248" s="8"/>
      <c r="N248" s="271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2" t="s">
        <v>54</v>
      </c>
      <c r="G249" s="102" t="s">
        <v>55</v>
      </c>
      <c r="H249" s="102" t="s">
        <v>56</v>
      </c>
      <c r="I249" s="102" t="s">
        <v>57</v>
      </c>
      <c r="J249" s="102" t="s">
        <v>58</v>
      </c>
      <c r="K249" s="102" t="s">
        <v>59</v>
      </c>
      <c r="L249" s="102" t="s">
        <v>5</v>
      </c>
      <c r="M249" s="8"/>
      <c r="N249" s="271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1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148221.6</v>
      </c>
      <c r="G251" s="18">
        <v>64549.66</v>
      </c>
      <c r="H251" s="18">
        <v>716.51</v>
      </c>
      <c r="I251" s="18">
        <v>2829.26</v>
      </c>
      <c r="J251" s="18">
        <v>2355</v>
      </c>
      <c r="K251" s="18"/>
      <c r="L251" s="19">
        <f t="shared" si="6"/>
        <v>218672.03000000003</v>
      </c>
      <c r="M251" s="8"/>
      <c r="N251" s="271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1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1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1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231061.46</v>
      </c>
      <c r="I255" s="18"/>
      <c r="J255" s="18"/>
      <c r="K255" s="18"/>
      <c r="L255" s="19">
        <f t="shared" si="6"/>
        <v>231061.46</v>
      </c>
      <c r="M255" s="8"/>
      <c r="N255" s="271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148221.6</v>
      </c>
      <c r="G256" s="41">
        <f t="shared" si="7"/>
        <v>64549.66</v>
      </c>
      <c r="H256" s="41">
        <f t="shared" si="7"/>
        <v>231777.97</v>
      </c>
      <c r="I256" s="41">
        <f t="shared" si="7"/>
        <v>2829.26</v>
      </c>
      <c r="J256" s="41">
        <f t="shared" si="7"/>
        <v>2355</v>
      </c>
      <c r="K256" s="41">
        <f t="shared" si="7"/>
        <v>0</v>
      </c>
      <c r="L256" s="41">
        <f>SUM(F256:K256)</f>
        <v>449733.49</v>
      </c>
      <c r="M256" s="8"/>
      <c r="N256" s="271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30961543.020000003</v>
      </c>
      <c r="G257" s="41">
        <f t="shared" si="8"/>
        <v>14090337.259999998</v>
      </c>
      <c r="H257" s="41">
        <f t="shared" si="8"/>
        <v>7612760.2399999993</v>
      </c>
      <c r="I257" s="41">
        <f t="shared" si="8"/>
        <v>2243211.7999999998</v>
      </c>
      <c r="J257" s="41">
        <f t="shared" si="8"/>
        <v>435659.57</v>
      </c>
      <c r="K257" s="41">
        <f t="shared" si="8"/>
        <v>40956.82</v>
      </c>
      <c r="L257" s="41">
        <f t="shared" si="8"/>
        <v>55384468.710000001</v>
      </c>
      <c r="M257" s="8"/>
      <c r="N257" s="271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1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1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3360000</v>
      </c>
      <c r="L260" s="19">
        <f>SUM(F260:K260)</f>
        <v>3360000</v>
      </c>
      <c r="M260" s="8"/>
      <c r="N260" s="271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2197995.12</v>
      </c>
      <c r="L261" s="19">
        <f>SUM(F261:K261)</f>
        <v>2197995.12</v>
      </c>
      <c r="N261" s="269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69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69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69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69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69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69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69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69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5557995.1200000001</v>
      </c>
      <c r="L270" s="41">
        <f t="shared" si="9"/>
        <v>5557995.1200000001</v>
      </c>
      <c r="N270" s="269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30961543.020000003</v>
      </c>
      <c r="G271" s="42">
        <f t="shared" si="11"/>
        <v>14090337.259999998</v>
      </c>
      <c r="H271" s="42">
        <f t="shared" si="11"/>
        <v>7612760.2399999993</v>
      </c>
      <c r="I271" s="42">
        <f t="shared" si="11"/>
        <v>2243211.7999999998</v>
      </c>
      <c r="J271" s="42">
        <f t="shared" si="11"/>
        <v>435659.57</v>
      </c>
      <c r="K271" s="42">
        <f t="shared" si="11"/>
        <v>5598951.9400000004</v>
      </c>
      <c r="L271" s="42">
        <f t="shared" si="11"/>
        <v>60942463.829999998</v>
      </c>
      <c r="M271" s="8"/>
      <c r="N271" s="271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1"/>
    </row>
    <row r="273" spans="1:14" s="3" customFormat="1" ht="12" customHeight="1" x14ac:dyDescent="0.15">
      <c r="A273" s="29" t="s">
        <v>467</v>
      </c>
      <c r="F273" s="176" t="s">
        <v>693</v>
      </c>
      <c r="G273" s="176" t="s">
        <v>694</v>
      </c>
      <c r="H273" s="176" t="s">
        <v>695</v>
      </c>
      <c r="I273" s="176" t="s">
        <v>696</v>
      </c>
      <c r="J273" s="176" t="s">
        <v>697</v>
      </c>
      <c r="K273" s="176" t="s">
        <v>698</v>
      </c>
      <c r="M273" s="8"/>
      <c r="N273" s="271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2" t="s">
        <v>54</v>
      </c>
      <c r="G274" s="102" t="s">
        <v>55</v>
      </c>
      <c r="H274" s="102" t="s">
        <v>56</v>
      </c>
      <c r="I274" s="102" t="s">
        <v>57</v>
      </c>
      <c r="J274" s="102" t="s">
        <v>58</v>
      </c>
      <c r="K274" s="102" t="s">
        <v>59</v>
      </c>
      <c r="L274" s="102" t="s">
        <v>5</v>
      </c>
      <c r="M274" s="8"/>
      <c r="N274" s="271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1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340079.87</v>
      </c>
      <c r="G276" s="18">
        <v>29011.27</v>
      </c>
      <c r="H276" s="18">
        <v>140</v>
      </c>
      <c r="I276" s="18">
        <v>6784.77</v>
      </c>
      <c r="J276" s="18">
        <v>7608</v>
      </c>
      <c r="K276" s="18"/>
      <c r="L276" s="19">
        <f>SUM(F276:K276)</f>
        <v>383623.91000000003</v>
      </c>
      <c r="M276" s="8"/>
      <c r="N276" s="271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83704.160000000003</v>
      </c>
      <c r="G277" s="18">
        <v>816.69</v>
      </c>
      <c r="H277" s="18">
        <v>415.08</v>
      </c>
      <c r="I277" s="18">
        <v>39.97</v>
      </c>
      <c r="J277" s="18">
        <v>7033.79</v>
      </c>
      <c r="K277" s="18"/>
      <c r="L277" s="19">
        <f>SUM(F277:K277)</f>
        <v>92009.69</v>
      </c>
      <c r="M277" s="8"/>
      <c r="N277" s="271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1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1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1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31512.87</v>
      </c>
      <c r="G281" s="18"/>
      <c r="H281" s="18">
        <v>49868.7</v>
      </c>
      <c r="I281" s="18">
        <v>19.760000000000002</v>
      </c>
      <c r="J281" s="18"/>
      <c r="K281" s="18"/>
      <c r="L281" s="19">
        <f t="shared" ref="L281:L287" si="12">SUM(F281:K281)</f>
        <v>81401.329999999987</v>
      </c>
      <c r="M281" s="8"/>
      <c r="N281" s="271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118474.37000000001</v>
      </c>
      <c r="G282" s="18">
        <v>52536.83</v>
      </c>
      <c r="H282" s="18">
        <v>8979.0300000000007</v>
      </c>
      <c r="I282" s="18">
        <v>248.9</v>
      </c>
      <c r="J282" s="18"/>
      <c r="K282" s="18"/>
      <c r="L282" s="19">
        <f t="shared" si="12"/>
        <v>180239.13</v>
      </c>
      <c r="M282" s="8"/>
      <c r="N282" s="271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>
        <v>568.54999999999995</v>
      </c>
      <c r="I283" s="18"/>
      <c r="J283" s="18"/>
      <c r="K283" s="18"/>
      <c r="L283" s="19">
        <f t="shared" si="12"/>
        <v>568.54999999999995</v>
      </c>
      <c r="M283" s="8"/>
      <c r="N283" s="271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1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1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1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1621.99</v>
      </c>
      <c r="I287" s="18"/>
      <c r="J287" s="18"/>
      <c r="K287" s="18"/>
      <c r="L287" s="19">
        <f t="shared" si="12"/>
        <v>1621.99</v>
      </c>
      <c r="M287" s="8"/>
      <c r="N287" s="271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1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1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573771.27</v>
      </c>
      <c r="G290" s="42">
        <f t="shared" si="13"/>
        <v>82364.790000000008</v>
      </c>
      <c r="H290" s="42">
        <f t="shared" si="13"/>
        <v>61593.35</v>
      </c>
      <c r="I290" s="42">
        <f t="shared" si="13"/>
        <v>7093.4000000000005</v>
      </c>
      <c r="J290" s="42">
        <f t="shared" si="13"/>
        <v>14641.79</v>
      </c>
      <c r="K290" s="42">
        <f t="shared" si="13"/>
        <v>0</v>
      </c>
      <c r="L290" s="41">
        <f t="shared" si="13"/>
        <v>739464.60000000009</v>
      </c>
      <c r="M290" s="8"/>
      <c r="N290" s="271"/>
    </row>
    <row r="291" spans="1:14" s="3" customFormat="1" ht="12" customHeight="1" x14ac:dyDescent="0.2">
      <c r="A291" s="69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6"/>
      <c r="M291" s="8"/>
      <c r="N291" s="271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6" t="s">
        <v>693</v>
      </c>
      <c r="G292" s="176" t="s">
        <v>694</v>
      </c>
      <c r="H292" s="176" t="s">
        <v>695</v>
      </c>
      <c r="I292" s="176" t="s">
        <v>696</v>
      </c>
      <c r="J292" s="176" t="s">
        <v>697</v>
      </c>
      <c r="K292" s="176" t="s">
        <v>698</v>
      </c>
      <c r="L292" s="17"/>
      <c r="M292" s="8"/>
      <c r="N292" s="271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2" t="s">
        <v>54</v>
      </c>
      <c r="G293" s="102" t="s">
        <v>55</v>
      </c>
      <c r="H293" s="102" t="s">
        <v>56</v>
      </c>
      <c r="I293" s="102" t="s">
        <v>57</v>
      </c>
      <c r="J293" s="102" t="s">
        <v>58</v>
      </c>
      <c r="K293" s="102" t="s">
        <v>59</v>
      </c>
      <c r="L293" s="102" t="s">
        <v>5</v>
      </c>
      <c r="M293" s="8"/>
      <c r="N293" s="271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1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10050.76</v>
      </c>
      <c r="G295" s="18">
        <v>1808.96</v>
      </c>
      <c r="H295" s="18">
        <v>5432.54</v>
      </c>
      <c r="I295" s="18">
        <v>2597.56</v>
      </c>
      <c r="J295" s="18">
        <v>12154</v>
      </c>
      <c r="K295" s="18"/>
      <c r="L295" s="19">
        <f>SUM(F295:K295)</f>
        <v>32043.820000000003</v>
      </c>
      <c r="M295" s="8"/>
      <c r="N295" s="271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135975.76</v>
      </c>
      <c r="G296" s="18">
        <v>31241.18</v>
      </c>
      <c r="H296" s="18">
        <v>248.05</v>
      </c>
      <c r="I296" s="18">
        <v>23.89</v>
      </c>
      <c r="J296" s="18"/>
      <c r="K296" s="18"/>
      <c r="L296" s="19">
        <f>SUM(F296:K296)</f>
        <v>167488.88</v>
      </c>
      <c r="M296" s="8"/>
      <c r="N296" s="271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1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1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1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18831.79</v>
      </c>
      <c r="G300" s="18"/>
      <c r="H300" s="18">
        <v>29801.050000000003</v>
      </c>
      <c r="I300" s="18">
        <v>27.82</v>
      </c>
      <c r="J300" s="18"/>
      <c r="K300" s="18"/>
      <c r="L300" s="19">
        <f t="shared" ref="L300:L306" si="14">SUM(F300:K300)</f>
        <v>48660.66</v>
      </c>
      <c r="M300" s="8"/>
      <c r="N300" s="271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17299.98</v>
      </c>
      <c r="G301" s="18">
        <v>3223.98</v>
      </c>
      <c r="H301" s="18">
        <v>4722.28</v>
      </c>
      <c r="I301" s="18">
        <v>148.74</v>
      </c>
      <c r="J301" s="18"/>
      <c r="K301" s="18"/>
      <c r="L301" s="19">
        <f t="shared" si="14"/>
        <v>25394.98</v>
      </c>
      <c r="M301" s="8"/>
      <c r="N301" s="271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>
        <v>339.76</v>
      </c>
      <c r="I302" s="18"/>
      <c r="J302" s="18"/>
      <c r="K302" s="18"/>
      <c r="L302" s="19">
        <f t="shared" si="14"/>
        <v>339.76</v>
      </c>
      <c r="M302" s="8"/>
      <c r="N302" s="271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1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1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1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v>2318.63</v>
      </c>
      <c r="I306" s="18"/>
      <c r="J306" s="18"/>
      <c r="K306" s="18"/>
      <c r="L306" s="19">
        <f t="shared" si="14"/>
        <v>2318.63</v>
      </c>
      <c r="M306" s="8"/>
      <c r="N306" s="271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1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1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182158.29000000004</v>
      </c>
      <c r="G309" s="42">
        <f t="shared" si="15"/>
        <v>36274.120000000003</v>
      </c>
      <c r="H309" s="42">
        <f t="shared" si="15"/>
        <v>42862.31</v>
      </c>
      <c r="I309" s="42">
        <f t="shared" si="15"/>
        <v>2798.01</v>
      </c>
      <c r="J309" s="42">
        <f t="shared" si="15"/>
        <v>12154</v>
      </c>
      <c r="K309" s="42">
        <f t="shared" si="15"/>
        <v>0</v>
      </c>
      <c r="L309" s="41">
        <f t="shared" si="15"/>
        <v>276246.73000000004</v>
      </c>
      <c r="N309" s="269"/>
    </row>
    <row r="310" spans="1:14" s="3" customFormat="1" ht="12" customHeight="1" x14ac:dyDescent="0.2">
      <c r="A310" s="69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6"/>
      <c r="M310" s="8"/>
      <c r="N310" s="271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6" t="s">
        <v>693</v>
      </c>
      <c r="G311" s="176" t="s">
        <v>694</v>
      </c>
      <c r="H311" s="176" t="s">
        <v>695</v>
      </c>
      <c r="I311" s="176" t="s">
        <v>696</v>
      </c>
      <c r="J311" s="176" t="s">
        <v>697</v>
      </c>
      <c r="K311" s="176" t="s">
        <v>698</v>
      </c>
      <c r="L311" s="20"/>
      <c r="M311" s="8"/>
      <c r="N311" s="271"/>
    </row>
    <row r="312" spans="1:14" s="3" customFormat="1" ht="12" customHeight="1" x14ac:dyDescent="0.15">
      <c r="A312" s="29" t="s">
        <v>454</v>
      </c>
      <c r="F312" s="102" t="s">
        <v>54</v>
      </c>
      <c r="G312" s="102" t="s">
        <v>55</v>
      </c>
      <c r="H312" s="102" t="s">
        <v>56</v>
      </c>
      <c r="I312" s="102" t="s">
        <v>57</v>
      </c>
      <c r="J312" s="102" t="s">
        <v>58</v>
      </c>
      <c r="K312" s="102" t="s">
        <v>59</v>
      </c>
      <c r="L312" s="102" t="s">
        <v>5</v>
      </c>
      <c r="M312" s="8"/>
      <c r="N312" s="271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1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>
        <v>735.5</v>
      </c>
      <c r="J314" s="18"/>
      <c r="K314" s="18"/>
      <c r="L314" s="19">
        <f>SUM(F314:K314)</f>
        <v>735.5</v>
      </c>
      <c r="M314" s="8"/>
      <c r="N314" s="271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270122.40000000002</v>
      </c>
      <c r="G315" s="18">
        <v>43770.05</v>
      </c>
      <c r="H315" s="18">
        <v>337.06</v>
      </c>
      <c r="I315" s="18">
        <v>32.46</v>
      </c>
      <c r="J315" s="18"/>
      <c r="K315" s="18"/>
      <c r="L315" s="19">
        <f>SUM(F315:K315)</f>
        <v>314261.97000000003</v>
      </c>
      <c r="M315" s="8"/>
      <c r="N315" s="271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10146</v>
      </c>
      <c r="G316" s="18">
        <v>7970.46</v>
      </c>
      <c r="H316" s="18">
        <v>10577.8</v>
      </c>
      <c r="I316" s="18">
        <v>11967.04</v>
      </c>
      <c r="J316" s="18">
        <v>92129.600000000006</v>
      </c>
      <c r="K316" s="18"/>
      <c r="L316" s="19">
        <f>SUM(F316:K316)</f>
        <v>132790.90000000002</v>
      </c>
      <c r="M316" s="8"/>
      <c r="N316" s="271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300</v>
      </c>
      <c r="G317" s="18">
        <v>46.45</v>
      </c>
      <c r="H317" s="18"/>
      <c r="I317" s="18"/>
      <c r="J317" s="18"/>
      <c r="K317" s="18"/>
      <c r="L317" s="19">
        <f>SUM(F317:K317)</f>
        <v>346.45</v>
      </c>
      <c r="M317" s="8"/>
      <c r="N317" s="271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1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25589.97</v>
      </c>
      <c r="G319" s="18"/>
      <c r="H319" s="18">
        <v>40495.79</v>
      </c>
      <c r="I319" s="18">
        <v>16.04</v>
      </c>
      <c r="J319" s="18"/>
      <c r="K319" s="18"/>
      <c r="L319" s="19">
        <f t="shared" ref="L319:L325" si="16">SUM(F319:K319)</f>
        <v>66101.8</v>
      </c>
      <c r="M319" s="8"/>
      <c r="N319" s="271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33678.439999999995</v>
      </c>
      <c r="G320" s="18">
        <v>6739.6</v>
      </c>
      <c r="H320" s="18">
        <v>21676.06</v>
      </c>
      <c r="I320" s="18">
        <v>1624.84</v>
      </c>
      <c r="J320" s="18"/>
      <c r="K320" s="18">
        <v>5821.76</v>
      </c>
      <c r="L320" s="19">
        <f t="shared" si="16"/>
        <v>69540.699999999983</v>
      </c>
      <c r="M320" s="8"/>
      <c r="N320" s="271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>
        <v>461.69</v>
      </c>
      <c r="I321" s="18"/>
      <c r="J321" s="18"/>
      <c r="K321" s="18"/>
      <c r="L321" s="19">
        <f t="shared" si="16"/>
        <v>461.69</v>
      </c>
      <c r="M321" s="8"/>
      <c r="N321" s="271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1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1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1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1317.13</v>
      </c>
      <c r="I325" s="18"/>
      <c r="J325" s="18"/>
      <c r="K325" s="18"/>
      <c r="L325" s="19">
        <f t="shared" si="16"/>
        <v>1317.13</v>
      </c>
      <c r="M325" s="8"/>
      <c r="N325" s="271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1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1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339836.81</v>
      </c>
      <c r="G328" s="42">
        <f t="shared" si="17"/>
        <v>58526.559999999998</v>
      </c>
      <c r="H328" s="42">
        <f t="shared" si="17"/>
        <v>74865.530000000013</v>
      </c>
      <c r="I328" s="42">
        <f t="shared" si="17"/>
        <v>14375.880000000001</v>
      </c>
      <c r="J328" s="42">
        <f t="shared" si="17"/>
        <v>92129.600000000006</v>
      </c>
      <c r="K328" s="42">
        <f t="shared" si="17"/>
        <v>5821.76</v>
      </c>
      <c r="L328" s="41">
        <f t="shared" si="17"/>
        <v>585556.14</v>
      </c>
      <c r="M328" s="8"/>
      <c r="N328" s="271"/>
    </row>
    <row r="329" spans="1:14" s="3" customFormat="1" ht="12" customHeight="1" x14ac:dyDescent="0.2">
      <c r="A329" s="69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6"/>
      <c r="M329" s="8"/>
      <c r="N329" s="271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6" t="s">
        <v>693</v>
      </c>
      <c r="G330" s="176" t="s">
        <v>694</v>
      </c>
      <c r="H330" s="176" t="s">
        <v>695</v>
      </c>
      <c r="I330" s="176" t="s">
        <v>696</v>
      </c>
      <c r="J330" s="176" t="s">
        <v>697</v>
      </c>
      <c r="K330" s="176" t="s">
        <v>698</v>
      </c>
      <c r="L330" s="19"/>
      <c r="M330" s="8"/>
      <c r="N330" s="271"/>
    </row>
    <row r="331" spans="1:14" s="3" customFormat="1" ht="12" customHeight="1" x14ac:dyDescent="0.15">
      <c r="A331" s="29" t="s">
        <v>362</v>
      </c>
      <c r="F331" s="102" t="s">
        <v>54</v>
      </c>
      <c r="G331" s="102" t="s">
        <v>55</v>
      </c>
      <c r="H331" s="102" t="s">
        <v>56</v>
      </c>
      <c r="I331" s="102" t="s">
        <v>57</v>
      </c>
      <c r="J331" s="102" t="s">
        <v>58</v>
      </c>
      <c r="K331" s="102" t="s">
        <v>59</v>
      </c>
      <c r="L331" s="102" t="s">
        <v>5</v>
      </c>
      <c r="M331" s="8"/>
      <c r="N331" s="271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1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121212.69</v>
      </c>
      <c r="G333" s="18">
        <v>14222.74</v>
      </c>
      <c r="H333" s="18">
        <v>17572.23</v>
      </c>
      <c r="I333" s="18">
        <v>13675.730000000001</v>
      </c>
      <c r="J333" s="18">
        <v>18690</v>
      </c>
      <c r="K333" s="18"/>
      <c r="L333" s="19">
        <f t="shared" si="18"/>
        <v>185373.39</v>
      </c>
      <c r="M333" s="8"/>
      <c r="N333" s="271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1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2660.68</v>
      </c>
      <c r="G335" s="18">
        <v>514.62</v>
      </c>
      <c r="H335" s="18">
        <v>410</v>
      </c>
      <c r="I335" s="18">
        <v>2919.47</v>
      </c>
      <c r="J335" s="18">
        <v>0</v>
      </c>
      <c r="K335" s="18">
        <v>0</v>
      </c>
      <c r="L335" s="19">
        <f t="shared" si="18"/>
        <v>6504.7699999999995</v>
      </c>
      <c r="M335" s="8"/>
      <c r="N335" s="271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1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123873.37</v>
      </c>
      <c r="G337" s="41">
        <f t="shared" si="19"/>
        <v>14737.36</v>
      </c>
      <c r="H337" s="41">
        <f t="shared" si="19"/>
        <v>17982.23</v>
      </c>
      <c r="I337" s="41">
        <f t="shared" si="19"/>
        <v>16595.2</v>
      </c>
      <c r="J337" s="41">
        <f t="shared" si="19"/>
        <v>18690</v>
      </c>
      <c r="K337" s="41">
        <f t="shared" si="19"/>
        <v>0</v>
      </c>
      <c r="L337" s="41">
        <f t="shared" si="18"/>
        <v>191878.16</v>
      </c>
      <c r="M337" s="8"/>
      <c r="N337" s="271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1219639.7400000002</v>
      </c>
      <c r="G338" s="41">
        <f t="shared" si="20"/>
        <v>191902.83000000002</v>
      </c>
      <c r="H338" s="41">
        <f t="shared" si="20"/>
        <v>197303.42</v>
      </c>
      <c r="I338" s="41">
        <f t="shared" si="20"/>
        <v>40862.490000000005</v>
      </c>
      <c r="J338" s="41">
        <f t="shared" si="20"/>
        <v>137615.39000000001</v>
      </c>
      <c r="K338" s="41">
        <f t="shared" si="20"/>
        <v>5821.76</v>
      </c>
      <c r="L338" s="41">
        <f t="shared" si="20"/>
        <v>1793145.6300000001</v>
      </c>
      <c r="M338" s="8"/>
      <c r="N338" s="271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1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1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1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1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0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21414.52</v>
      </c>
      <c r="L344" s="19">
        <f t="shared" ref="L344:L350" si="21">SUM(F344:K344)</f>
        <v>21414.52</v>
      </c>
      <c r="M344" s="8"/>
      <c r="N344" s="271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1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1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1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1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1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1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21414.52</v>
      </c>
      <c r="L351" s="41">
        <f>SUM(L341:L350)</f>
        <v>21414.52</v>
      </c>
      <c r="M351" s="8"/>
      <c r="N351" s="271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1219639.7400000002</v>
      </c>
      <c r="G352" s="41">
        <f>G338</f>
        <v>191902.83000000002</v>
      </c>
      <c r="H352" s="41">
        <f>H338</f>
        <v>197303.42</v>
      </c>
      <c r="I352" s="41">
        <f>I338</f>
        <v>40862.490000000005</v>
      </c>
      <c r="J352" s="41">
        <f>J338</f>
        <v>137615.39000000001</v>
      </c>
      <c r="K352" s="47">
        <f>K338+K351</f>
        <v>27236.28</v>
      </c>
      <c r="L352" s="41">
        <f>L338+L351</f>
        <v>1814560.1500000001</v>
      </c>
      <c r="M352" s="52"/>
      <c r="N352" s="270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69"/>
      <c r="B353" s="37"/>
      <c r="C353" s="23"/>
      <c r="D353" s="23"/>
      <c r="E353" s="23"/>
      <c r="F353" s="66"/>
      <c r="G353" s="66"/>
      <c r="H353" s="66"/>
      <c r="I353" s="66"/>
      <c r="J353" s="66"/>
      <c r="K353" s="56"/>
      <c r="L353" s="66"/>
      <c r="M353" s="8"/>
      <c r="N353" s="271"/>
    </row>
    <row r="354" spans="1:22" s="3" customFormat="1" ht="12" customHeight="1" x14ac:dyDescent="0.2">
      <c r="A354" s="54"/>
      <c r="B354" s="52"/>
      <c r="C354" s="52"/>
      <c r="D354" s="52"/>
      <c r="E354" s="52"/>
      <c r="F354" s="176" t="s">
        <v>693</v>
      </c>
      <c r="G354" s="176" t="s">
        <v>694</v>
      </c>
      <c r="H354" s="176" t="s">
        <v>695</v>
      </c>
      <c r="I354" s="176" t="s">
        <v>696</v>
      </c>
      <c r="J354" s="176" t="s">
        <v>697</v>
      </c>
      <c r="K354" s="176" t="s">
        <v>698</v>
      </c>
      <c r="L354" s="53"/>
      <c r="M354" s="8"/>
      <c r="N354" s="271"/>
    </row>
    <row r="355" spans="1:22" s="3" customFormat="1" ht="12" customHeight="1" x14ac:dyDescent="0.15">
      <c r="A355" s="29" t="s">
        <v>282</v>
      </c>
      <c r="F355" s="102" t="s">
        <v>54</v>
      </c>
      <c r="G355" s="102" t="s">
        <v>55</v>
      </c>
      <c r="H355" s="102" t="s">
        <v>56</v>
      </c>
      <c r="I355" s="102" t="s">
        <v>57</v>
      </c>
      <c r="J355" s="102" t="s">
        <v>58</v>
      </c>
      <c r="K355" s="102" t="s">
        <v>59</v>
      </c>
      <c r="L355" s="102" t="s">
        <v>5</v>
      </c>
      <c r="M355" s="8"/>
      <c r="N355" s="271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1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1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274">
        <v>228193.51535</v>
      </c>
      <c r="G358" s="274">
        <v>65842.679399999994</v>
      </c>
      <c r="H358" s="274">
        <v>15816.702649999999</v>
      </c>
      <c r="I358" s="274">
        <v>177326.06129999997</v>
      </c>
      <c r="J358" s="274">
        <v>2943.18</v>
      </c>
      <c r="K358" s="18"/>
      <c r="L358" s="13">
        <f>SUM(F358:K358)</f>
        <v>490122.13869999995</v>
      </c>
      <c r="N358" s="269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274">
        <v>129959.39992</v>
      </c>
      <c r="G359" s="274">
        <v>48826.58928</v>
      </c>
      <c r="H359" s="274">
        <v>3776.2976799999997</v>
      </c>
      <c r="I359" s="274">
        <v>151623.39856</v>
      </c>
      <c r="J359" s="274">
        <v>1758.816</v>
      </c>
      <c r="K359" s="18"/>
      <c r="L359" s="19">
        <f>SUM(F359:K359)</f>
        <v>335944.50144000002</v>
      </c>
      <c r="M359" s="8"/>
      <c r="N359" s="271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274">
        <v>227787.58473</v>
      </c>
      <c r="G360" s="274">
        <v>92749.971319999997</v>
      </c>
      <c r="H360" s="274">
        <v>7200.3896700000005</v>
      </c>
      <c r="I360" s="274">
        <v>302869.05013999995</v>
      </c>
      <c r="J360" s="274">
        <v>3190.0040000000004</v>
      </c>
      <c r="K360" s="18"/>
      <c r="L360" s="19">
        <f>SUM(F360:K360)</f>
        <v>633796.99985999987</v>
      </c>
      <c r="M360" s="8"/>
      <c r="N360" s="271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1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585940.5</v>
      </c>
      <c r="G362" s="47">
        <f t="shared" si="22"/>
        <v>207419.24</v>
      </c>
      <c r="H362" s="47">
        <f t="shared" si="22"/>
        <v>26793.39</v>
      </c>
      <c r="I362" s="47">
        <f t="shared" si="22"/>
        <v>631818.50999999989</v>
      </c>
      <c r="J362" s="47">
        <f t="shared" si="22"/>
        <v>7892</v>
      </c>
      <c r="K362" s="47">
        <f t="shared" si="22"/>
        <v>0</v>
      </c>
      <c r="L362" s="47">
        <f t="shared" si="22"/>
        <v>1459863.64</v>
      </c>
      <c r="M362" s="8"/>
      <c r="N362" s="271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1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1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1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1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274">
        <v>166463.37</v>
      </c>
      <c r="G367" s="274">
        <v>145101.14799999999</v>
      </c>
      <c r="H367" s="274">
        <v>291074.22199999995</v>
      </c>
      <c r="I367" s="56">
        <f>SUM(F367:H367)</f>
        <v>602638.74</v>
      </c>
      <c r="J367" s="24" t="s">
        <v>289</v>
      </c>
      <c r="K367" s="24" t="s">
        <v>289</v>
      </c>
      <c r="L367" s="24" t="s">
        <v>289</v>
      </c>
      <c r="M367" s="8"/>
      <c r="N367" s="271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275">
        <v>10862.6913</v>
      </c>
      <c r="G368" s="275">
        <v>6522.2505599999995</v>
      </c>
      <c r="H368" s="275">
        <v>11794.82814</v>
      </c>
      <c r="I368" s="56">
        <f>SUM(F368:H368)</f>
        <v>29179.769999999997</v>
      </c>
      <c r="J368" s="24" t="s">
        <v>289</v>
      </c>
      <c r="K368" s="24" t="s">
        <v>289</v>
      </c>
      <c r="L368" s="24" t="s">
        <v>289</v>
      </c>
      <c r="M368" s="8"/>
      <c r="N368" s="271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177326.0613</v>
      </c>
      <c r="G369" s="47">
        <f>SUM(G367:G368)</f>
        <v>151623.39855999997</v>
      </c>
      <c r="H369" s="47">
        <f>SUM(H367:H368)</f>
        <v>302869.05013999995</v>
      </c>
      <c r="I369" s="47">
        <f>SUM(I367:I368)</f>
        <v>631818.51</v>
      </c>
      <c r="J369" s="24" t="s">
        <v>289</v>
      </c>
      <c r="K369" s="24" t="s">
        <v>289</v>
      </c>
      <c r="L369" s="24" t="s">
        <v>289</v>
      </c>
      <c r="M369" s="8"/>
      <c r="N369" s="271"/>
    </row>
    <row r="370" spans="1:14" s="3" customFormat="1" ht="12" customHeight="1" x14ac:dyDescent="0.15">
      <c r="A370" s="34"/>
      <c r="B370" s="2"/>
      <c r="C370" s="2"/>
      <c r="D370" s="2"/>
      <c r="E370" s="2"/>
      <c r="F370" s="63"/>
      <c r="G370" s="63"/>
      <c r="H370" s="63"/>
      <c r="I370" s="56"/>
      <c r="J370" s="56"/>
      <c r="K370" s="56"/>
      <c r="L370" s="56"/>
      <c r="M370" s="8"/>
      <c r="N370" s="271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6" t="s">
        <v>693</v>
      </c>
      <c r="G371" s="176" t="s">
        <v>694</v>
      </c>
      <c r="H371" s="176" t="s">
        <v>695</v>
      </c>
      <c r="I371" s="176" t="s">
        <v>696</v>
      </c>
      <c r="J371" s="176" t="s">
        <v>697</v>
      </c>
      <c r="K371" s="176" t="s">
        <v>698</v>
      </c>
      <c r="L371" s="13"/>
      <c r="M371" s="8"/>
      <c r="N371" s="271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2" t="s">
        <v>54</v>
      </c>
      <c r="G372" s="102" t="s">
        <v>55</v>
      </c>
      <c r="H372" s="102" t="s">
        <v>56</v>
      </c>
      <c r="I372" s="102" t="s">
        <v>57</v>
      </c>
      <c r="J372" s="102" t="s">
        <v>58</v>
      </c>
      <c r="K372" s="102" t="s">
        <v>59</v>
      </c>
      <c r="L372" s="102" t="s">
        <v>5</v>
      </c>
      <c r="M372" s="8"/>
      <c r="N372" s="271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1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1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1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>
        <v>802014.66</v>
      </c>
      <c r="I376" s="18"/>
      <c r="J376" s="18"/>
      <c r="K376" s="18"/>
      <c r="L376" s="13">
        <f t="shared" si="23"/>
        <v>802014.66</v>
      </c>
      <c r="M376" s="8"/>
      <c r="N376" s="271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1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>
        <f>20523333.71-92339.5</f>
        <v>20430994.210000001</v>
      </c>
      <c r="I378" s="18"/>
      <c r="J378" s="18">
        <v>202240.99</v>
      </c>
      <c r="K378" s="18"/>
      <c r="L378" s="13">
        <f t="shared" si="23"/>
        <v>20633235.199999999</v>
      </c>
      <c r="M378" s="8"/>
      <c r="N378" s="271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v>21536.81</v>
      </c>
      <c r="I379" s="18"/>
      <c r="J379" s="18"/>
      <c r="K379" s="18"/>
      <c r="L379" s="13">
        <f t="shared" si="23"/>
        <v>21536.81</v>
      </c>
      <c r="M379" s="8"/>
      <c r="N379" s="271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1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1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8">
        <f>SUM(F374:F381)</f>
        <v>0</v>
      </c>
      <c r="G382" s="138">
        <f t="shared" ref="G382:L382" si="24">SUM(G374:G381)</f>
        <v>0</v>
      </c>
      <c r="H382" s="138">
        <f t="shared" si="24"/>
        <v>21254545.68</v>
      </c>
      <c r="I382" s="41">
        <f t="shared" si="24"/>
        <v>0</v>
      </c>
      <c r="J382" s="47">
        <f t="shared" si="24"/>
        <v>202240.99</v>
      </c>
      <c r="K382" s="47">
        <f t="shared" si="24"/>
        <v>0</v>
      </c>
      <c r="L382" s="47">
        <f t="shared" si="24"/>
        <v>21456786.669999998</v>
      </c>
      <c r="M382" s="8"/>
      <c r="N382" s="271"/>
    </row>
    <row r="383" spans="1:14" s="3" customFormat="1" ht="12" customHeight="1" x14ac:dyDescent="0.15">
      <c r="A383" s="29"/>
      <c r="B383" s="2"/>
      <c r="C383" s="2"/>
      <c r="D383" s="2"/>
      <c r="E383" s="2"/>
      <c r="F383" s="65"/>
      <c r="G383" s="65"/>
      <c r="H383" s="65"/>
      <c r="I383" s="66"/>
      <c r="J383" s="56"/>
      <c r="K383" s="56"/>
      <c r="L383" s="56"/>
      <c r="M383" s="8"/>
      <c r="N383" s="271"/>
    </row>
    <row r="384" spans="1:14" s="3" customFormat="1" ht="12" customHeight="1" x14ac:dyDescent="0.15">
      <c r="A384" s="26" t="s">
        <v>483</v>
      </c>
      <c r="B384" s="75"/>
      <c r="C384" s="75"/>
      <c r="D384" s="75"/>
      <c r="E384" s="75"/>
      <c r="F384" s="65"/>
      <c r="G384" s="65"/>
      <c r="H384" s="65"/>
      <c r="I384" s="66"/>
      <c r="J384" s="56"/>
      <c r="K384" s="56"/>
      <c r="L384" s="56"/>
      <c r="M384" s="8"/>
      <c r="N384" s="271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1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6" t="s">
        <v>341</v>
      </c>
      <c r="M386" s="8"/>
      <c r="N386" s="271"/>
    </row>
    <row r="387" spans="1:14" s="3" customFormat="1" ht="12" customHeight="1" x14ac:dyDescent="0.15">
      <c r="A387" s="78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1"/>
    </row>
    <row r="388" spans="1:14" s="3" customFormat="1" ht="12" customHeight="1" x14ac:dyDescent="0.15">
      <c r="A388" s="78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>
        <v>2.94</v>
      </c>
      <c r="I388" s="18"/>
      <c r="J388" s="24" t="s">
        <v>289</v>
      </c>
      <c r="K388" s="24" t="s">
        <v>289</v>
      </c>
      <c r="L388" s="56">
        <f t="shared" si="25"/>
        <v>2.94</v>
      </c>
      <c r="M388" s="8"/>
      <c r="N388" s="271"/>
    </row>
    <row r="389" spans="1:14" s="3" customFormat="1" ht="12" customHeight="1" x14ac:dyDescent="0.15">
      <c r="A389" s="78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1"/>
    </row>
    <row r="390" spans="1:14" s="3" customFormat="1" ht="12" customHeight="1" x14ac:dyDescent="0.15">
      <c r="A390" s="78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1"/>
    </row>
    <row r="391" spans="1:14" s="3" customFormat="1" ht="12" customHeight="1" x14ac:dyDescent="0.15">
      <c r="A391" s="78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1"/>
    </row>
    <row r="392" spans="1:14" s="3" customFormat="1" ht="12" customHeight="1" thickBot="1" x14ac:dyDescent="0.2">
      <c r="A392" s="78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1"/>
    </row>
    <row r="393" spans="1:14" s="3" customFormat="1" ht="12" customHeight="1" thickTop="1" x14ac:dyDescent="0.15">
      <c r="A393" s="159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8">
        <f>SUM(F387:F392)</f>
        <v>0</v>
      </c>
      <c r="G393" s="138">
        <f>SUM(G387:G392)</f>
        <v>0</v>
      </c>
      <c r="H393" s="138">
        <f>SUM(H387:H392)</f>
        <v>2.94</v>
      </c>
      <c r="I393" s="64">
        <f>SUM(I387:I392)</f>
        <v>0</v>
      </c>
      <c r="J393" s="45" t="s">
        <v>289</v>
      </c>
      <c r="K393" s="45" t="s">
        <v>289</v>
      </c>
      <c r="L393" s="47">
        <f>SUM(L387:L392)</f>
        <v>2.94</v>
      </c>
      <c r="M393" s="8"/>
      <c r="N393" s="271"/>
    </row>
    <row r="394" spans="1:14" s="3" customFormat="1" ht="12" customHeight="1" x14ac:dyDescent="0.15">
      <c r="A394" s="77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1"/>
    </row>
    <row r="395" spans="1:14" s="3" customFormat="1" ht="12" customHeight="1" x14ac:dyDescent="0.15">
      <c r="A395" s="78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1"/>
    </row>
    <row r="396" spans="1:14" s="3" customFormat="1" ht="12" customHeight="1" x14ac:dyDescent="0.15">
      <c r="A396" s="78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1"/>
    </row>
    <row r="397" spans="1:14" s="3" customFormat="1" ht="12" customHeight="1" x14ac:dyDescent="0.15">
      <c r="A397" s="78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1"/>
    </row>
    <row r="398" spans="1:14" s="3" customFormat="1" ht="12" customHeight="1" x14ac:dyDescent="0.15">
      <c r="A398" s="78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1"/>
    </row>
    <row r="399" spans="1:14" s="3" customFormat="1" ht="12" customHeight="1" x14ac:dyDescent="0.15">
      <c r="A399" s="78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1"/>
    </row>
    <row r="400" spans="1:14" s="3" customFormat="1" ht="12" customHeight="1" thickBot="1" x14ac:dyDescent="0.2">
      <c r="A400" s="78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13.54</v>
      </c>
      <c r="I400" s="18">
        <v>19264.5</v>
      </c>
      <c r="J400" s="24" t="s">
        <v>289</v>
      </c>
      <c r="K400" s="24" t="s">
        <v>289</v>
      </c>
      <c r="L400" s="56">
        <f t="shared" si="26"/>
        <v>19278.04</v>
      </c>
      <c r="M400" s="8"/>
      <c r="N400" s="271"/>
    </row>
    <row r="401" spans="1:21" s="3" customFormat="1" ht="12" customHeight="1" thickTop="1" x14ac:dyDescent="0.15">
      <c r="A401" s="159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13.54</v>
      </c>
      <c r="I401" s="47">
        <f>SUM(I395:I400)</f>
        <v>19264.5</v>
      </c>
      <c r="J401" s="45" t="s">
        <v>289</v>
      </c>
      <c r="K401" s="45" t="s">
        <v>289</v>
      </c>
      <c r="L401" s="47">
        <f>SUM(L395:L400)</f>
        <v>19278.04</v>
      </c>
      <c r="M401" s="8"/>
      <c r="N401" s="271"/>
    </row>
    <row r="402" spans="1:21" s="3" customFormat="1" ht="12" customHeight="1" x14ac:dyDescent="0.15">
      <c r="A402" s="77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1"/>
    </row>
    <row r="403" spans="1:21" s="3" customFormat="1" ht="12" customHeight="1" x14ac:dyDescent="0.15">
      <c r="A403" s="109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1"/>
    </row>
    <row r="404" spans="1:21" s="3" customFormat="1" ht="12" customHeight="1" x14ac:dyDescent="0.15">
      <c r="A404" s="109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1"/>
    </row>
    <row r="405" spans="1:21" s="3" customFormat="1" ht="12" customHeight="1" x14ac:dyDescent="0.15">
      <c r="A405" s="109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1"/>
    </row>
    <row r="406" spans="1:21" s="3" customFormat="1" ht="12" customHeight="1" thickBot="1" x14ac:dyDescent="0.2">
      <c r="A406" s="109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1"/>
    </row>
    <row r="407" spans="1:21" s="3" customFormat="1" ht="12" customHeight="1" thickTop="1" thickBot="1" x14ac:dyDescent="0.2">
      <c r="A407" s="159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1"/>
    </row>
    <row r="408" spans="1:21" s="3" customFormat="1" ht="12" customHeight="1" thickTop="1" x14ac:dyDescent="0.15">
      <c r="A408" s="77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16.48</v>
      </c>
      <c r="I408" s="47">
        <f>I393+I401+I407</f>
        <v>19264.5</v>
      </c>
      <c r="J408" s="24" t="s">
        <v>289</v>
      </c>
      <c r="K408" s="24" t="s">
        <v>289</v>
      </c>
      <c r="L408" s="47">
        <f>L393+L401+L407</f>
        <v>19280.98</v>
      </c>
      <c r="M408" s="8"/>
      <c r="N408" s="271"/>
    </row>
    <row r="409" spans="1:21" s="3" customFormat="1" ht="12" customHeight="1" x14ac:dyDescent="0.15">
      <c r="A409" s="77"/>
      <c r="B409" s="2"/>
      <c r="C409" s="6"/>
      <c r="D409" s="6"/>
      <c r="E409" s="6"/>
      <c r="F409" s="176" t="s">
        <v>693</v>
      </c>
      <c r="G409" s="176" t="s">
        <v>694</v>
      </c>
      <c r="H409" s="176" t="s">
        <v>695</v>
      </c>
      <c r="I409" s="176" t="s">
        <v>696</v>
      </c>
      <c r="J409" s="176" t="s">
        <v>697</v>
      </c>
      <c r="K409" s="176" t="s">
        <v>698</v>
      </c>
      <c r="L409" s="56"/>
      <c r="M409" s="8"/>
      <c r="N409" s="271"/>
    </row>
    <row r="410" spans="1:21" s="3" customFormat="1" ht="12" customHeight="1" x14ac:dyDescent="0.15">
      <c r="A410" s="26" t="s">
        <v>483</v>
      </c>
      <c r="B410" s="75"/>
      <c r="C410" s="75"/>
      <c r="D410" s="75"/>
      <c r="E410" s="75"/>
      <c r="F410" s="65"/>
      <c r="G410" s="16" t="s">
        <v>385</v>
      </c>
      <c r="H410" s="16" t="s">
        <v>386</v>
      </c>
      <c r="I410" s="66"/>
      <c r="J410" s="56"/>
      <c r="K410" s="56"/>
      <c r="L410" s="56"/>
      <c r="M410" s="8"/>
      <c r="N410" s="271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6" t="s">
        <v>341</v>
      </c>
      <c r="M411" s="8"/>
      <c r="N411" s="271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1"/>
    </row>
    <row r="413" spans="1:21" s="3" customFormat="1" ht="12" customHeight="1" x14ac:dyDescent="0.15">
      <c r="A413" s="78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1"/>
    </row>
    <row r="414" spans="1:21" s="12" customFormat="1" ht="12" customHeight="1" thickBot="1" x14ac:dyDescent="0.25">
      <c r="A414" s="78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0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8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6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8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1"/>
    </row>
    <row r="417" spans="1:21" s="3" customFormat="1" ht="12" customHeight="1" x14ac:dyDescent="0.15">
      <c r="A417" s="78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1"/>
    </row>
    <row r="418" spans="1:21" s="3" customFormat="1" ht="12" customHeight="1" thickBot="1" x14ac:dyDescent="0.2">
      <c r="A418" s="78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1"/>
    </row>
    <row r="419" spans="1:21" s="3" customFormat="1" ht="12" customHeight="1" thickTop="1" x14ac:dyDescent="0.15">
      <c r="A419" s="159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8">
        <f t="shared" ref="F419:L419" si="28">SUM(F413:F418)</f>
        <v>0</v>
      </c>
      <c r="G419" s="138">
        <f t="shared" si="28"/>
        <v>0</v>
      </c>
      <c r="H419" s="138">
        <f t="shared" si="28"/>
        <v>0</v>
      </c>
      <c r="I419" s="138">
        <f t="shared" si="28"/>
        <v>0</v>
      </c>
      <c r="J419" s="138">
        <f t="shared" si="28"/>
        <v>0</v>
      </c>
      <c r="K419" s="138">
        <f t="shared" si="28"/>
        <v>0</v>
      </c>
      <c r="L419" s="47">
        <f t="shared" si="28"/>
        <v>0</v>
      </c>
      <c r="M419" s="8"/>
      <c r="N419" s="271"/>
    </row>
    <row r="420" spans="1:21" s="3" customFormat="1" ht="12" customHeight="1" x14ac:dyDescent="0.15">
      <c r="A420" s="77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1"/>
    </row>
    <row r="421" spans="1:21" s="3" customFormat="1" ht="12" customHeight="1" x14ac:dyDescent="0.15">
      <c r="A421" s="78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1"/>
    </row>
    <row r="422" spans="1:21" s="3" customFormat="1" ht="12" customHeight="1" x14ac:dyDescent="0.15">
      <c r="A422" s="78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1"/>
    </row>
    <row r="423" spans="1:21" s="3" customFormat="1" ht="12" customHeight="1" x14ac:dyDescent="0.15">
      <c r="A423" s="78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1"/>
    </row>
    <row r="424" spans="1:21" s="3" customFormat="1" ht="12" customHeight="1" x14ac:dyDescent="0.15">
      <c r="A424" s="78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1"/>
    </row>
    <row r="425" spans="1:21" s="3" customFormat="1" ht="12" customHeight="1" x14ac:dyDescent="0.15">
      <c r="A425" s="78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1"/>
    </row>
    <row r="426" spans="1:21" s="3" customFormat="1" ht="12" customHeight="1" thickBot="1" x14ac:dyDescent="0.2">
      <c r="A426" s="78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1"/>
    </row>
    <row r="427" spans="1:21" s="3" customFormat="1" ht="12" customHeight="1" thickTop="1" x14ac:dyDescent="0.15">
      <c r="A427" s="159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1"/>
    </row>
    <row r="428" spans="1:21" s="11" customFormat="1" ht="12" customHeight="1" x14ac:dyDescent="0.15">
      <c r="A428" s="77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7"/>
      <c r="N428" s="226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09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7"/>
      <c r="N429" s="226"/>
    </row>
    <row r="430" spans="1:21" s="58" customFormat="1" ht="12" customHeight="1" x14ac:dyDescent="0.15">
      <c r="A430" s="109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7"/>
      <c r="N430" s="226"/>
    </row>
    <row r="431" spans="1:21" ht="12" customHeight="1" x14ac:dyDescent="0.2">
      <c r="A431" s="109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69"/>
    </row>
    <row r="432" spans="1:21" s="3" customFormat="1" ht="12" customHeight="1" thickBot="1" x14ac:dyDescent="0.2">
      <c r="A432" s="109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1"/>
    </row>
    <row r="433" spans="1:14" s="3" customFormat="1" ht="12" customHeight="1" thickTop="1" thickBot="1" x14ac:dyDescent="0.2">
      <c r="A433" s="159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1"/>
    </row>
    <row r="434" spans="1:14" s="3" customFormat="1" ht="12" customHeight="1" thickTop="1" x14ac:dyDescent="0.15">
      <c r="A434" s="77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1"/>
    </row>
    <row r="435" spans="1:14" s="3" customFormat="1" ht="12" customHeight="1" x14ac:dyDescent="0.15">
      <c r="A435" s="77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1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1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1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1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1"/>
    </row>
    <row r="440" spans="1:14" s="3" customFormat="1" ht="12" customHeight="1" x14ac:dyDescent="0.15">
      <c r="A440" s="68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29644.06</v>
      </c>
      <c r="G440" s="18">
        <v>136474.6</v>
      </c>
      <c r="H440" s="18"/>
      <c r="I440" s="56">
        <f t="shared" si="33"/>
        <v>166118.66</v>
      </c>
      <c r="J440" s="24" t="s">
        <v>289</v>
      </c>
      <c r="K440" s="24" t="s">
        <v>289</v>
      </c>
      <c r="L440" s="24" t="s">
        <v>289</v>
      </c>
      <c r="M440" s="8"/>
      <c r="N440" s="271"/>
    </row>
    <row r="441" spans="1:14" s="3" customFormat="1" ht="12" customHeight="1" x14ac:dyDescent="0.15">
      <c r="A441" s="68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19264.5</v>
      </c>
      <c r="H441" s="18"/>
      <c r="I441" s="56">
        <f t="shared" si="33"/>
        <v>19264.5</v>
      </c>
      <c r="J441" s="24" t="s">
        <v>289</v>
      </c>
      <c r="K441" s="24" t="s">
        <v>289</v>
      </c>
      <c r="L441" s="24" t="s">
        <v>289</v>
      </c>
      <c r="M441" s="8"/>
      <c r="N441" s="271"/>
    </row>
    <row r="442" spans="1:14" s="3" customFormat="1" ht="12" customHeight="1" x14ac:dyDescent="0.15">
      <c r="A442" s="68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1"/>
    </row>
    <row r="443" spans="1:14" s="3" customFormat="1" ht="12" customHeight="1" x14ac:dyDescent="0.15">
      <c r="A443" s="68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1"/>
    </row>
    <row r="444" spans="1:14" s="3" customFormat="1" ht="12" customHeight="1" x14ac:dyDescent="0.15">
      <c r="A444" s="68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1"/>
    </row>
    <row r="445" spans="1:14" s="3" customFormat="1" ht="12" customHeight="1" x14ac:dyDescent="0.15">
      <c r="A445" s="68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1"/>
    </row>
    <row r="446" spans="1:14" s="3" customFormat="1" ht="12" customHeight="1" thickBot="1" x14ac:dyDescent="0.2">
      <c r="A446" s="69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29644.06</v>
      </c>
      <c r="G446" s="13">
        <f>SUM(G439:G445)</f>
        <v>155739.1</v>
      </c>
      <c r="H446" s="13">
        <f>SUM(H439:H445)</f>
        <v>0</v>
      </c>
      <c r="I446" s="13">
        <f>SUM(I439:I445)</f>
        <v>185383.16</v>
      </c>
      <c r="J446" s="24" t="s">
        <v>289</v>
      </c>
      <c r="K446" s="24" t="s">
        <v>289</v>
      </c>
      <c r="L446" s="24" t="s">
        <v>289</v>
      </c>
      <c r="M446" s="8"/>
      <c r="N446" s="271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1"/>
    </row>
    <row r="448" spans="1:14" s="3" customFormat="1" ht="12" customHeight="1" x14ac:dyDescent="0.15">
      <c r="A448" s="68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1"/>
    </row>
    <row r="449" spans="1:23" s="3" customFormat="1" ht="12" customHeight="1" x14ac:dyDescent="0.15">
      <c r="A449" s="68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1"/>
    </row>
    <row r="450" spans="1:23" s="3" customFormat="1" ht="12" customHeight="1" x14ac:dyDescent="0.15">
      <c r="A450" s="68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1"/>
    </row>
    <row r="451" spans="1:23" s="3" customFormat="1" ht="12" customHeight="1" x14ac:dyDescent="0.15">
      <c r="A451" s="68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1"/>
    </row>
    <row r="452" spans="1:23" s="3" customFormat="1" ht="12" customHeight="1" thickBot="1" x14ac:dyDescent="0.2">
      <c r="A452" s="73" t="s">
        <v>424</v>
      </c>
      <c r="B452" s="72">
        <v>18</v>
      </c>
      <c r="C452" s="70">
        <v>13</v>
      </c>
      <c r="D452" s="2" t="s">
        <v>433</v>
      </c>
      <c r="E452" s="70"/>
      <c r="F452" s="71">
        <f>SUM(F448:F451)</f>
        <v>0</v>
      </c>
      <c r="G452" s="71">
        <f>SUM(G448:G451)</f>
        <v>0</v>
      </c>
      <c r="H452" s="71">
        <f>SUM(H448:H451)</f>
        <v>0</v>
      </c>
      <c r="I452" s="71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1"/>
    </row>
    <row r="453" spans="1:23" s="3" customFormat="1" ht="12" customHeight="1" thickTop="1" x14ac:dyDescent="0.15">
      <c r="A453" s="89" t="s">
        <v>8</v>
      </c>
      <c r="B453" s="36"/>
      <c r="C453" s="74"/>
      <c r="D453" s="74"/>
      <c r="E453" s="74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1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1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1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1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7"/>
      <c r="N457" s="226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0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29644.06</v>
      </c>
      <c r="G459" s="18">
        <v>155739.1</v>
      </c>
      <c r="H459" s="18"/>
      <c r="I459" s="56">
        <f t="shared" si="34"/>
        <v>185383.16</v>
      </c>
      <c r="J459" s="24" t="s">
        <v>289</v>
      </c>
      <c r="K459" s="24" t="s">
        <v>289</v>
      </c>
      <c r="L459" s="24" t="s">
        <v>289</v>
      </c>
      <c r="M459" s="52"/>
      <c r="N459" s="270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0">
        <v>18</v>
      </c>
      <c r="C460" s="51">
        <v>20</v>
      </c>
      <c r="D460" s="48" t="s">
        <v>433</v>
      </c>
      <c r="E460" s="51"/>
      <c r="F460" s="82">
        <f>SUM(F454:F459)</f>
        <v>29644.06</v>
      </c>
      <c r="G460" s="82">
        <f>SUM(G454:G459)</f>
        <v>155739.1</v>
      </c>
      <c r="H460" s="82">
        <f>SUM(H454:H459)</f>
        <v>0</v>
      </c>
      <c r="I460" s="82">
        <f>SUM(I454:I459)</f>
        <v>185383.16</v>
      </c>
      <c r="J460" s="24" t="s">
        <v>289</v>
      </c>
      <c r="K460" s="24" t="s">
        <v>289</v>
      </c>
      <c r="L460" s="24" t="s">
        <v>289</v>
      </c>
      <c r="N460" s="270"/>
    </row>
    <row r="461" spans="1:23" s="52" customFormat="1" ht="12" customHeight="1" thickTop="1" x14ac:dyDescent="0.2">
      <c r="A461" s="90" t="s">
        <v>425</v>
      </c>
      <c r="B461" s="44">
        <v>18</v>
      </c>
      <c r="C461" s="81">
        <v>21</v>
      </c>
      <c r="D461" s="156" t="s">
        <v>433</v>
      </c>
      <c r="E461" s="81"/>
      <c r="F461" s="42">
        <f>F452+F460</f>
        <v>29644.06</v>
      </c>
      <c r="G461" s="42">
        <f>G452+G460</f>
        <v>155739.1</v>
      </c>
      <c r="H461" s="42">
        <f>H452+H460</f>
        <v>0</v>
      </c>
      <c r="I461" s="42">
        <f>I452+I460</f>
        <v>185383.16</v>
      </c>
      <c r="J461" s="24" t="s">
        <v>289</v>
      </c>
      <c r="K461" s="24" t="s">
        <v>289</v>
      </c>
      <c r="L461" s="24" t="s">
        <v>289</v>
      </c>
      <c r="N461" s="270"/>
    </row>
    <row r="462" spans="1:23" s="52" customFormat="1" ht="12" customHeight="1" x14ac:dyDescent="0.2">
      <c r="A462" s="91"/>
      <c r="B462" s="74"/>
      <c r="C462" s="79"/>
      <c r="D462" s="79"/>
      <c r="E462" s="79"/>
      <c r="F462" s="53"/>
      <c r="G462" s="53"/>
      <c r="H462" s="53"/>
      <c r="I462" s="53"/>
      <c r="J462" s="53"/>
      <c r="K462" s="53"/>
      <c r="L462" s="53"/>
      <c r="N462" s="270"/>
    </row>
    <row r="463" spans="1:23" s="52" customFormat="1" ht="12" customHeight="1" x14ac:dyDescent="0.2">
      <c r="A463" s="91" t="s">
        <v>9</v>
      </c>
      <c r="B463" s="74"/>
      <c r="C463" s="79"/>
      <c r="D463" s="79"/>
      <c r="E463" s="79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0"/>
    </row>
    <row r="464" spans="1:23" s="52" customFormat="1" ht="12" customHeight="1" x14ac:dyDescent="0.2">
      <c r="A464" s="91"/>
      <c r="B464" s="74"/>
      <c r="C464" s="79"/>
      <c r="D464" s="79"/>
      <c r="E464" s="79"/>
      <c r="F464" s="83" t="s">
        <v>10</v>
      </c>
      <c r="G464" s="83" t="s">
        <v>11</v>
      </c>
      <c r="H464" s="83" t="s">
        <v>12</v>
      </c>
      <c r="I464" s="83" t="s">
        <v>13</v>
      </c>
      <c r="J464" s="83" t="s">
        <v>14</v>
      </c>
      <c r="K464" s="53"/>
      <c r="L464" s="53"/>
      <c r="N464" s="270"/>
    </row>
    <row r="465" spans="1:14" s="52" customFormat="1" ht="12" customHeight="1" x14ac:dyDescent="0.2">
      <c r="A465" s="188" t="s">
        <v>907</v>
      </c>
      <c r="B465" s="104">
        <v>19</v>
      </c>
      <c r="C465" s="110">
        <v>1</v>
      </c>
      <c r="D465" s="2" t="s">
        <v>433</v>
      </c>
      <c r="E465" s="110"/>
      <c r="F465" s="18">
        <v>2136115.0299999998</v>
      </c>
      <c r="G465" s="18">
        <v>140058.35999999999</v>
      </c>
      <c r="H465" s="18">
        <v>166837.03</v>
      </c>
      <c r="I465" s="18">
        <v>18315052.059999999</v>
      </c>
      <c r="J465" s="18">
        <v>166102.18</v>
      </c>
      <c r="K465" s="24" t="s">
        <v>289</v>
      </c>
      <c r="L465" s="24" t="s">
        <v>289</v>
      </c>
      <c r="N465" s="270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0"/>
    </row>
    <row r="467" spans="1:14" s="52" customFormat="1" ht="12" customHeight="1" x14ac:dyDescent="0.2">
      <c r="A467" s="93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0"/>
    </row>
    <row r="468" spans="1:14" s="52" customFormat="1" ht="12" customHeight="1" x14ac:dyDescent="0.2">
      <c r="A468" s="92" t="s">
        <v>614</v>
      </c>
      <c r="B468" s="74">
        <v>19</v>
      </c>
      <c r="C468" s="79">
        <v>2</v>
      </c>
      <c r="D468" s="2" t="s">
        <v>433</v>
      </c>
      <c r="E468" s="79"/>
      <c r="F468" s="18">
        <v>61152247.170000002</v>
      </c>
      <c r="G468" s="18">
        <v>1392846.76</v>
      </c>
      <c r="H468" s="18">
        <v>1843456.15</v>
      </c>
      <c r="I468" s="18">
        <v>26516271.809999999</v>
      </c>
      <c r="J468" s="18">
        <v>19280.98</v>
      </c>
      <c r="K468" s="24" t="s">
        <v>289</v>
      </c>
      <c r="L468" s="24" t="s">
        <v>289</v>
      </c>
      <c r="N468" s="270"/>
    </row>
    <row r="469" spans="1:14" s="52" customFormat="1" ht="12" customHeight="1" x14ac:dyDescent="0.2">
      <c r="A469" s="92" t="s">
        <v>615</v>
      </c>
      <c r="B469" s="74">
        <v>19</v>
      </c>
      <c r="C469" s="79">
        <v>3</v>
      </c>
      <c r="D469" s="2" t="s">
        <v>433</v>
      </c>
      <c r="E469" s="79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0"/>
    </row>
    <row r="470" spans="1:14" s="52" customFormat="1" ht="12" customHeight="1" x14ac:dyDescent="0.2">
      <c r="A470" s="91" t="s">
        <v>426</v>
      </c>
      <c r="B470" s="74">
        <v>19</v>
      </c>
      <c r="C470" s="79">
        <v>4</v>
      </c>
      <c r="D470" s="2" t="s">
        <v>433</v>
      </c>
      <c r="E470" s="79"/>
      <c r="F470" s="53">
        <f>SUM(F468:F469)</f>
        <v>61152247.170000002</v>
      </c>
      <c r="G470" s="53">
        <f>SUM(G468:G469)</f>
        <v>1392846.76</v>
      </c>
      <c r="H470" s="53">
        <f>SUM(H468:H469)</f>
        <v>1843456.15</v>
      </c>
      <c r="I470" s="53">
        <f>SUM(I468:I469)</f>
        <v>26516271.809999999</v>
      </c>
      <c r="J470" s="53">
        <f>SUM(J468:J469)</f>
        <v>19280.98</v>
      </c>
      <c r="K470" s="24" t="s">
        <v>289</v>
      </c>
      <c r="L470" s="24" t="s">
        <v>289</v>
      </c>
      <c r="N470" s="270"/>
    </row>
    <row r="471" spans="1:14" s="52" customFormat="1" ht="12" customHeight="1" x14ac:dyDescent="0.2">
      <c r="A471" s="93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0"/>
    </row>
    <row r="472" spans="1:14" s="52" customFormat="1" ht="12" customHeight="1" x14ac:dyDescent="0.2">
      <c r="A472" s="92" t="s">
        <v>616</v>
      </c>
      <c r="B472" s="74">
        <v>19</v>
      </c>
      <c r="C472" s="79">
        <v>5</v>
      </c>
      <c r="D472" s="2" t="s">
        <v>433</v>
      </c>
      <c r="E472" s="79"/>
      <c r="F472" s="18">
        <v>60942463.829999998</v>
      </c>
      <c r="G472" s="18">
        <v>1459863.64</v>
      </c>
      <c r="H472" s="18">
        <v>1814560.15</v>
      </c>
      <c r="I472" s="18">
        <v>21456786.670000002</v>
      </c>
      <c r="J472" s="18"/>
      <c r="K472" s="24" t="s">
        <v>289</v>
      </c>
      <c r="L472" s="24" t="s">
        <v>289</v>
      </c>
      <c r="N472" s="270"/>
    </row>
    <row r="473" spans="1:14" s="52" customFormat="1" ht="12" customHeight="1" x14ac:dyDescent="0.2">
      <c r="A473" s="92" t="s">
        <v>617</v>
      </c>
      <c r="B473" s="74">
        <v>19</v>
      </c>
      <c r="C473" s="79">
        <v>6</v>
      </c>
      <c r="D473" s="2" t="s">
        <v>433</v>
      </c>
      <c r="E473" s="79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0"/>
    </row>
    <row r="474" spans="1:14" s="52" customFormat="1" ht="12" customHeight="1" x14ac:dyDescent="0.2">
      <c r="A474" s="91" t="s">
        <v>427</v>
      </c>
      <c r="B474" s="74">
        <v>19</v>
      </c>
      <c r="C474" s="79">
        <v>7</v>
      </c>
      <c r="D474" s="2" t="s">
        <v>433</v>
      </c>
      <c r="E474" s="79"/>
      <c r="F474" s="53">
        <f>SUM(F472:F473)</f>
        <v>60942463.829999998</v>
      </c>
      <c r="G474" s="53">
        <f>SUM(G472:G473)</f>
        <v>1459863.64</v>
      </c>
      <c r="H474" s="53">
        <f>SUM(H472:H473)</f>
        <v>1814560.15</v>
      </c>
      <c r="I474" s="53">
        <f>SUM(I472:I473)</f>
        <v>21456786.670000002</v>
      </c>
      <c r="J474" s="53">
        <f>SUM(J472:J473)</f>
        <v>0</v>
      </c>
      <c r="K474" s="24" t="s">
        <v>289</v>
      </c>
      <c r="L474" s="24" t="s">
        <v>289</v>
      </c>
      <c r="N474" s="270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0"/>
    </row>
    <row r="476" spans="1:14" s="52" customFormat="1" ht="12" customHeight="1" x14ac:dyDescent="0.2">
      <c r="A476" s="189" t="s">
        <v>908</v>
      </c>
      <c r="B476" s="74">
        <v>19</v>
      </c>
      <c r="C476" s="114">
        <v>8</v>
      </c>
      <c r="D476" s="2" t="s">
        <v>433</v>
      </c>
      <c r="E476" s="114"/>
      <c r="F476" s="53">
        <f>(F465+F470)- F474</f>
        <v>2345898.3700000048</v>
      </c>
      <c r="G476" s="53">
        <f>(G465+G470)- G474</f>
        <v>73041.480000000214</v>
      </c>
      <c r="H476" s="53">
        <f>(H465+H470)- H474</f>
        <v>195733.03000000003</v>
      </c>
      <c r="I476" s="53">
        <f>(I465+I470)- I474</f>
        <v>23374537.199999996</v>
      </c>
      <c r="J476" s="53">
        <f>(J465+J470)- J474</f>
        <v>185383.16</v>
      </c>
      <c r="K476" s="24" t="s">
        <v>289</v>
      </c>
      <c r="L476" s="24" t="s">
        <v>289</v>
      </c>
      <c r="N476" s="270"/>
    </row>
    <row r="477" spans="1:14" s="52" customFormat="1" ht="12" customHeight="1" x14ac:dyDescent="0.2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N477" s="270"/>
    </row>
    <row r="478" spans="1:14" s="52" customFormat="1" ht="12" customHeight="1" x14ac:dyDescent="0.2">
      <c r="A478" s="94" t="s">
        <v>661</v>
      </c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N478" s="270"/>
    </row>
    <row r="479" spans="1:14" s="52" customFormat="1" ht="12" customHeight="1" x14ac:dyDescent="0.2">
      <c r="A479" s="94" t="s">
        <v>699</v>
      </c>
      <c r="B479" s="111"/>
      <c r="C479" s="111"/>
      <c r="D479" s="111"/>
      <c r="E479" s="111"/>
      <c r="F479" s="111"/>
      <c r="G479" s="111"/>
      <c r="H479" s="111"/>
      <c r="I479" s="111" t="s">
        <v>17</v>
      </c>
      <c r="J479" s="111"/>
      <c r="K479" s="94"/>
      <c r="L479" s="94"/>
      <c r="N479" s="270"/>
    </row>
    <row r="480" spans="1:14" s="52" customFormat="1" ht="12" customHeight="1" x14ac:dyDescent="0.2">
      <c r="A480" s="18"/>
      <c r="B480" s="111"/>
      <c r="C480" s="111"/>
      <c r="D480" s="111"/>
      <c r="E480" s="111"/>
      <c r="F480" s="111"/>
      <c r="G480" s="111"/>
      <c r="H480" s="111"/>
      <c r="I480" s="111" t="s">
        <v>402</v>
      </c>
      <c r="J480" s="111"/>
      <c r="K480" s="94"/>
      <c r="L480" s="94"/>
      <c r="N480" s="270"/>
    </row>
    <row r="481" spans="1:14" s="52" customFormat="1" ht="12" customHeight="1" x14ac:dyDescent="0.2">
      <c r="A481" s="174"/>
      <c r="B481" s="111"/>
      <c r="C481" s="111"/>
      <c r="D481" s="111"/>
      <c r="E481" s="111"/>
      <c r="F481" s="111"/>
      <c r="G481" s="111"/>
      <c r="H481" s="111"/>
      <c r="I481" s="111" t="s">
        <v>654</v>
      </c>
      <c r="J481" s="111"/>
      <c r="K481" s="94"/>
      <c r="L481" s="94"/>
      <c r="N481" s="270"/>
    </row>
    <row r="482" spans="1:14" s="52" customFormat="1" ht="12" customHeight="1" x14ac:dyDescent="0.2">
      <c r="A482" s="94" t="s">
        <v>700</v>
      </c>
      <c r="B482" s="111"/>
      <c r="C482" s="111"/>
      <c r="D482" s="111"/>
      <c r="E482" s="111"/>
      <c r="F482" s="111"/>
      <c r="G482" s="111"/>
      <c r="H482" s="111"/>
      <c r="I482" s="111" t="s">
        <v>474</v>
      </c>
      <c r="J482" s="111"/>
      <c r="K482" s="94"/>
      <c r="L482" s="94"/>
      <c r="N482" s="270"/>
    </row>
    <row r="483" spans="1:14" s="52" customFormat="1" ht="12" customHeight="1" x14ac:dyDescent="0.2">
      <c r="A483" s="173"/>
      <c r="B483" s="111"/>
      <c r="C483" s="111"/>
      <c r="D483" s="111"/>
      <c r="E483" s="111"/>
      <c r="F483" s="111"/>
      <c r="G483" s="111"/>
      <c r="H483" s="111"/>
      <c r="I483" s="111" t="s">
        <v>18</v>
      </c>
      <c r="J483" s="111"/>
      <c r="K483" s="94"/>
      <c r="L483" s="94"/>
      <c r="N483" s="270"/>
    </row>
    <row r="484" spans="1:14" s="52" customFormat="1" ht="12" customHeight="1" x14ac:dyDescent="0.2">
      <c r="A484" s="173"/>
      <c r="B484" s="111"/>
      <c r="C484" s="111"/>
      <c r="D484" s="111"/>
      <c r="E484" s="111"/>
      <c r="F484" s="111"/>
      <c r="G484" s="111"/>
      <c r="H484" s="111"/>
      <c r="I484" s="111" t="s">
        <v>475</v>
      </c>
      <c r="J484" s="111"/>
      <c r="K484" s="94"/>
      <c r="L484" s="94"/>
      <c r="N484" s="270"/>
    </row>
    <row r="485" spans="1:14" s="52" customFormat="1" ht="12" customHeight="1" x14ac:dyDescent="0.2">
      <c r="A485" s="173"/>
      <c r="B485" s="111"/>
      <c r="C485" s="111"/>
      <c r="D485" s="111"/>
      <c r="E485" s="111"/>
      <c r="F485" s="111"/>
      <c r="G485" s="111"/>
      <c r="H485" s="111"/>
      <c r="I485" s="111" t="s">
        <v>476</v>
      </c>
      <c r="J485" s="111"/>
      <c r="K485" s="94"/>
      <c r="L485" s="94"/>
      <c r="N485" s="270"/>
    </row>
    <row r="486" spans="1:14" s="52" customFormat="1" ht="12" customHeight="1" x14ac:dyDescent="0.2">
      <c r="A486" s="22"/>
      <c r="B486" s="111"/>
      <c r="C486" s="111"/>
      <c r="D486" s="111"/>
      <c r="E486" s="111"/>
      <c r="F486" s="111"/>
      <c r="G486" s="111"/>
      <c r="H486" s="111"/>
      <c r="I486" s="111"/>
      <c r="J486" s="111"/>
      <c r="K486" s="94"/>
      <c r="L486" s="94"/>
      <c r="N486" s="270"/>
    </row>
    <row r="487" spans="1:14" s="52" customFormat="1" ht="12" customHeight="1" x14ac:dyDescent="0.2">
      <c r="A487" s="95" t="s">
        <v>19</v>
      </c>
      <c r="B487" s="104"/>
      <c r="C487" s="114"/>
      <c r="D487" s="114"/>
      <c r="E487" s="114"/>
      <c r="F487" s="115"/>
      <c r="G487" s="115"/>
      <c r="H487" s="115"/>
      <c r="I487" s="115"/>
      <c r="J487" s="115"/>
      <c r="K487" s="115"/>
      <c r="L487" s="115"/>
      <c r="N487" s="270"/>
    </row>
    <row r="488" spans="1:14" s="52" customFormat="1" ht="12" customHeight="1" x14ac:dyDescent="0.2">
      <c r="A488" s="146" t="s">
        <v>909</v>
      </c>
      <c r="B488" s="104"/>
      <c r="C488" s="114"/>
      <c r="D488" s="114"/>
      <c r="E488" s="114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5"/>
      <c r="N488" s="270"/>
    </row>
    <row r="489" spans="1:14" s="52" customFormat="1" ht="12" customHeight="1" x14ac:dyDescent="0.2">
      <c r="A489" s="95" t="s">
        <v>21</v>
      </c>
      <c r="B489" s="104"/>
      <c r="C489" s="114"/>
      <c r="D489" s="114"/>
      <c r="E489" s="114"/>
      <c r="F489" s="116" t="s">
        <v>22</v>
      </c>
      <c r="G489" s="116" t="s">
        <v>23</v>
      </c>
      <c r="H489" s="116" t="s">
        <v>24</v>
      </c>
      <c r="I489" s="116" t="s">
        <v>25</v>
      </c>
      <c r="J489" s="116" t="s">
        <v>26</v>
      </c>
      <c r="K489" s="116" t="s">
        <v>341</v>
      </c>
      <c r="L489" s="115"/>
      <c r="N489" s="270"/>
    </row>
    <row r="490" spans="1:14" s="52" customFormat="1" ht="12" customHeight="1" x14ac:dyDescent="0.2">
      <c r="A490" s="22" t="s">
        <v>618</v>
      </c>
      <c r="B490" s="74">
        <v>20</v>
      </c>
      <c r="C490" s="114">
        <v>1</v>
      </c>
      <c r="D490" s="2" t="s">
        <v>433</v>
      </c>
      <c r="E490" s="114"/>
      <c r="F490" s="153">
        <v>16</v>
      </c>
      <c r="G490" s="153">
        <v>16</v>
      </c>
      <c r="H490" s="153">
        <v>20</v>
      </c>
      <c r="I490" s="153">
        <v>20</v>
      </c>
      <c r="J490" s="153">
        <v>20</v>
      </c>
      <c r="K490" s="24" t="s">
        <v>289</v>
      </c>
      <c r="L490" s="24" t="s">
        <v>289</v>
      </c>
      <c r="N490" s="270"/>
    </row>
    <row r="491" spans="1:14" s="52" customFormat="1" ht="12" customHeight="1" x14ac:dyDescent="0.2">
      <c r="A491" s="22" t="s">
        <v>619</v>
      </c>
      <c r="B491" s="74">
        <v>20</v>
      </c>
      <c r="C491" s="114">
        <v>2</v>
      </c>
      <c r="D491" s="2" t="s">
        <v>433</v>
      </c>
      <c r="E491" s="114"/>
      <c r="F491" s="154"/>
      <c r="G491" s="154"/>
      <c r="H491" s="153"/>
      <c r="I491" s="153"/>
      <c r="J491" s="153"/>
      <c r="K491" s="24" t="s">
        <v>289</v>
      </c>
      <c r="L491" s="24" t="s">
        <v>289</v>
      </c>
      <c r="N491" s="270"/>
    </row>
    <row r="492" spans="1:14" s="52" customFormat="1" ht="12" customHeight="1" x14ac:dyDescent="0.2">
      <c r="A492" s="22" t="s">
        <v>620</v>
      </c>
      <c r="B492" s="74">
        <v>20</v>
      </c>
      <c r="C492" s="114">
        <v>3</v>
      </c>
      <c r="D492" s="2" t="s">
        <v>433</v>
      </c>
      <c r="E492" s="114"/>
      <c r="F492" s="154"/>
      <c r="G492" s="154"/>
      <c r="H492" s="153"/>
      <c r="I492" s="153"/>
      <c r="J492" s="153"/>
      <c r="K492" s="24" t="s">
        <v>289</v>
      </c>
      <c r="L492" s="24" t="s">
        <v>289</v>
      </c>
      <c r="N492" s="270"/>
    </row>
    <row r="493" spans="1:14" s="52" customFormat="1" ht="12" customHeight="1" x14ac:dyDescent="0.2">
      <c r="A493" s="22" t="s">
        <v>621</v>
      </c>
      <c r="B493" s="74">
        <v>20</v>
      </c>
      <c r="C493" s="114">
        <v>4</v>
      </c>
      <c r="D493" s="2" t="s">
        <v>433</v>
      </c>
      <c r="E493" s="114"/>
      <c r="F493" s="18">
        <v>14506160</v>
      </c>
      <c r="G493" s="18">
        <v>7493840</v>
      </c>
      <c r="H493" s="18">
        <v>16205153</v>
      </c>
      <c r="I493" s="18">
        <v>21817560</v>
      </c>
      <c r="J493" s="18">
        <v>21323000</v>
      </c>
      <c r="K493" s="24" t="s">
        <v>289</v>
      </c>
      <c r="L493" s="24" t="s">
        <v>289</v>
      </c>
      <c r="N493" s="270"/>
    </row>
    <row r="494" spans="1:14" s="52" customFormat="1" ht="12" customHeight="1" x14ac:dyDescent="0.2">
      <c r="A494" s="22" t="s">
        <v>622</v>
      </c>
      <c r="B494" s="74">
        <v>20</v>
      </c>
      <c r="C494" s="114">
        <v>5</v>
      </c>
      <c r="D494" s="2" t="s">
        <v>433</v>
      </c>
      <c r="E494" s="114"/>
      <c r="F494" s="18"/>
      <c r="G494" s="18">
        <v>3.51</v>
      </c>
      <c r="H494" s="18">
        <v>3.58</v>
      </c>
      <c r="I494" s="18">
        <v>3.21</v>
      </c>
      <c r="J494" s="18">
        <v>2.91</v>
      </c>
      <c r="K494" s="24" t="s">
        <v>289</v>
      </c>
      <c r="L494" s="24" t="s">
        <v>289</v>
      </c>
      <c r="N494" s="270"/>
    </row>
    <row r="495" spans="1:14" s="52" customFormat="1" ht="12" customHeight="1" x14ac:dyDescent="0.2">
      <c r="A495" s="22" t="s">
        <v>623</v>
      </c>
      <c r="B495" s="74">
        <v>20</v>
      </c>
      <c r="C495" s="114">
        <v>6</v>
      </c>
      <c r="D495" s="2" t="s">
        <v>433</v>
      </c>
      <c r="E495" s="114"/>
      <c r="F495" s="18">
        <v>10865000</v>
      </c>
      <c r="G495" s="18">
        <v>7493840</v>
      </c>
      <c r="H495" s="18">
        <v>13695000</v>
      </c>
      <c r="I495" s="18">
        <v>20000000</v>
      </c>
      <c r="J495" s="18">
        <v>21323000</v>
      </c>
      <c r="K495" s="53">
        <f>SUM(F495:J495)</f>
        <v>73376840</v>
      </c>
      <c r="L495" s="24" t="s">
        <v>289</v>
      </c>
      <c r="N495" s="270"/>
    </row>
    <row r="496" spans="1:14" s="52" customFormat="1" ht="12" customHeight="1" x14ac:dyDescent="0.2">
      <c r="A496" s="22" t="s">
        <v>624</v>
      </c>
      <c r="B496" s="74">
        <v>20</v>
      </c>
      <c r="C496" s="114">
        <v>7</v>
      </c>
      <c r="D496" s="2" t="s">
        <v>433</v>
      </c>
      <c r="E496" s="114"/>
      <c r="F496" s="18"/>
      <c r="G496" s="18"/>
      <c r="H496" s="18"/>
      <c r="I496" s="18">
        <v>0</v>
      </c>
      <c r="J496" s="18">
        <v>0</v>
      </c>
      <c r="K496" s="53">
        <f t="shared" ref="K496:K503" si="35">SUM(F496:J496)</f>
        <v>0</v>
      </c>
      <c r="L496" s="24" t="s">
        <v>289</v>
      </c>
      <c r="N496" s="270"/>
    </row>
    <row r="497" spans="1:14" s="52" customFormat="1" ht="12" customHeight="1" x14ac:dyDescent="0.2">
      <c r="A497" s="22" t="s">
        <v>625</v>
      </c>
      <c r="B497" s="74">
        <v>20</v>
      </c>
      <c r="C497" s="114">
        <v>8</v>
      </c>
      <c r="D497" s="2" t="s">
        <v>433</v>
      </c>
      <c r="E497" s="114"/>
      <c r="F497" s="18">
        <v>910000</v>
      </c>
      <c r="G497" s="18">
        <v>440000</v>
      </c>
      <c r="H497" s="18">
        <v>725000</v>
      </c>
      <c r="I497" s="18">
        <v>1000000</v>
      </c>
      <c r="J497" s="18">
        <v>0</v>
      </c>
      <c r="K497" s="53">
        <f t="shared" si="35"/>
        <v>3075000</v>
      </c>
      <c r="L497" s="24" t="s">
        <v>289</v>
      </c>
      <c r="N497" s="270"/>
    </row>
    <row r="498" spans="1:14" s="52" customFormat="1" ht="12" customHeight="1" x14ac:dyDescent="0.2">
      <c r="A498" s="199" t="s">
        <v>626</v>
      </c>
      <c r="B498" s="200">
        <v>20</v>
      </c>
      <c r="C498" s="201">
        <v>9</v>
      </c>
      <c r="D498" s="202" t="s">
        <v>433</v>
      </c>
      <c r="E498" s="201"/>
      <c r="F498" s="203">
        <v>9955000</v>
      </c>
      <c r="G498" s="203">
        <v>4790000</v>
      </c>
      <c r="H498" s="203">
        <v>12970000</v>
      </c>
      <c r="I498" s="203">
        <v>19000000</v>
      </c>
      <c r="J498" s="203">
        <v>21323000</v>
      </c>
      <c r="K498" s="204">
        <f t="shared" si="35"/>
        <v>68038000</v>
      </c>
      <c r="L498" s="205" t="s">
        <v>289</v>
      </c>
      <c r="N498" s="270"/>
    </row>
    <row r="499" spans="1:14" s="52" customFormat="1" ht="12" customHeight="1" thickBot="1" x14ac:dyDescent="0.25">
      <c r="A499" s="22" t="s">
        <v>627</v>
      </c>
      <c r="B499" s="74">
        <v>20</v>
      </c>
      <c r="C499" s="114">
        <v>10</v>
      </c>
      <c r="D499" s="2" t="s">
        <v>433</v>
      </c>
      <c r="E499" s="114"/>
      <c r="F499" s="18">
        <v>2951159.75</v>
      </c>
      <c r="G499" s="18">
        <v>1278431.25</v>
      </c>
      <c r="H499" s="18">
        <v>5879000</v>
      </c>
      <c r="I499" s="18">
        <v>7054375</v>
      </c>
      <c r="J499" s="18">
        <v>7551693.75</v>
      </c>
      <c r="K499" s="53">
        <f t="shared" si="35"/>
        <v>24714659.75</v>
      </c>
      <c r="L499" s="24" t="s">
        <v>289</v>
      </c>
      <c r="N499" s="270"/>
    </row>
    <row r="500" spans="1:14" s="52" customFormat="1" ht="12" customHeight="1" thickTop="1" x14ac:dyDescent="0.2">
      <c r="A500" s="138" t="s">
        <v>628</v>
      </c>
      <c r="B500" s="44">
        <v>20</v>
      </c>
      <c r="C500" s="194">
        <v>11</v>
      </c>
      <c r="D500" s="39" t="s">
        <v>433</v>
      </c>
      <c r="E500" s="194"/>
      <c r="F500" s="42">
        <f>SUM(F498:F499)</f>
        <v>12906159.75</v>
      </c>
      <c r="G500" s="42">
        <f>SUM(G498:G499)</f>
        <v>6068431.25</v>
      </c>
      <c r="H500" s="42">
        <f>SUM(H498:H499)</f>
        <v>18849000</v>
      </c>
      <c r="I500" s="42">
        <f>SUM(I498:I499)</f>
        <v>26054375</v>
      </c>
      <c r="J500" s="42">
        <f>SUM(J498:J499)</f>
        <v>28874693.75</v>
      </c>
      <c r="K500" s="42">
        <f t="shared" si="35"/>
        <v>92752659.75</v>
      </c>
      <c r="L500" s="45" t="s">
        <v>289</v>
      </c>
      <c r="N500" s="270"/>
    </row>
    <row r="501" spans="1:14" s="52" customFormat="1" ht="12" customHeight="1" x14ac:dyDescent="0.2">
      <c r="A501" s="199" t="s">
        <v>655</v>
      </c>
      <c r="B501" s="200">
        <v>20</v>
      </c>
      <c r="C501" s="201">
        <v>12</v>
      </c>
      <c r="D501" s="202" t="s">
        <v>433</v>
      </c>
      <c r="E501" s="201"/>
      <c r="F501" s="203">
        <v>905000</v>
      </c>
      <c r="G501" s="203">
        <v>440000</v>
      </c>
      <c r="H501" s="203">
        <v>725000</v>
      </c>
      <c r="I501" s="203">
        <v>1000000</v>
      </c>
      <c r="J501" s="203">
        <v>1068000</v>
      </c>
      <c r="K501" s="204">
        <f t="shared" si="35"/>
        <v>4138000</v>
      </c>
      <c r="L501" s="205" t="s">
        <v>289</v>
      </c>
      <c r="N501" s="270"/>
    </row>
    <row r="502" spans="1:14" s="52" customFormat="1" ht="12" customHeight="1" thickBot="1" x14ac:dyDescent="0.25">
      <c r="A502" s="22" t="s">
        <v>629</v>
      </c>
      <c r="B502" s="74">
        <v>20</v>
      </c>
      <c r="C502" s="114">
        <v>13</v>
      </c>
      <c r="D502" s="2" t="s">
        <v>433</v>
      </c>
      <c r="E502" s="114"/>
      <c r="F502" s="18">
        <v>512184.75</v>
      </c>
      <c r="G502" s="18">
        <v>214312.5</v>
      </c>
      <c r="H502" s="18">
        <v>644820</v>
      </c>
      <c r="I502" s="18">
        <v>791250</v>
      </c>
      <c r="J502" s="18">
        <v>778225</v>
      </c>
      <c r="K502" s="53">
        <f t="shared" si="35"/>
        <v>2940792.25</v>
      </c>
      <c r="L502" s="24" t="s">
        <v>289</v>
      </c>
      <c r="N502" s="270"/>
    </row>
    <row r="503" spans="1:14" s="52" customFormat="1" ht="12" customHeight="1" thickTop="1" x14ac:dyDescent="0.2">
      <c r="A503" s="138" t="s">
        <v>630</v>
      </c>
      <c r="B503" s="44">
        <v>20</v>
      </c>
      <c r="C503" s="194">
        <v>14</v>
      </c>
      <c r="D503" s="39" t="s">
        <v>433</v>
      </c>
      <c r="E503" s="194"/>
      <c r="F503" s="42">
        <f>SUM(F501:F502)</f>
        <v>1417184.75</v>
      </c>
      <c r="G503" s="42">
        <f>SUM(G501:G502)</f>
        <v>654312.5</v>
      </c>
      <c r="H503" s="42">
        <f>SUM(H501:H502)</f>
        <v>1369820</v>
      </c>
      <c r="I503" s="42">
        <f>SUM(I501:I502)</f>
        <v>1791250</v>
      </c>
      <c r="J503" s="42">
        <f>SUM(J501:J502)</f>
        <v>1846225</v>
      </c>
      <c r="K503" s="42">
        <f t="shared" si="35"/>
        <v>7078792.25</v>
      </c>
      <c r="L503" s="45" t="s">
        <v>289</v>
      </c>
      <c r="N503" s="270"/>
    </row>
    <row r="504" spans="1:14" s="52" customFormat="1" ht="12" customHeight="1" x14ac:dyDescent="0.2">
      <c r="A504" s="95"/>
      <c r="B504" s="104"/>
      <c r="C504" s="114"/>
      <c r="D504" s="114"/>
      <c r="E504" s="114"/>
      <c r="F504" s="102"/>
      <c r="G504" s="102"/>
      <c r="H504" s="105"/>
      <c r="I504" s="105"/>
      <c r="J504" s="105"/>
      <c r="K504" s="105"/>
      <c r="L504" s="105"/>
      <c r="N504" s="270"/>
    </row>
    <row r="505" spans="1:14" s="52" customFormat="1" ht="12" customHeight="1" x14ac:dyDescent="0.2">
      <c r="C505" s="114"/>
      <c r="D505" s="114"/>
      <c r="E505" s="114"/>
      <c r="F505" s="102"/>
      <c r="G505" s="102"/>
      <c r="H505" s="105"/>
      <c r="I505" s="105"/>
      <c r="J505" s="105"/>
      <c r="K505" s="105"/>
      <c r="L505" s="105"/>
      <c r="N505" s="270"/>
    </row>
    <row r="506" spans="1:14" s="52" customFormat="1" ht="12" customHeight="1" x14ac:dyDescent="0.2">
      <c r="B506" s="104"/>
      <c r="F506" s="52" t="s">
        <v>41</v>
      </c>
      <c r="G506" s="102" t="s">
        <v>42</v>
      </c>
      <c r="H506" s="102" t="s">
        <v>43</v>
      </c>
      <c r="I506" s="105" t="s">
        <v>44</v>
      </c>
      <c r="J506" s="24" t="s">
        <v>289</v>
      </c>
      <c r="K506" s="24" t="s">
        <v>289</v>
      </c>
      <c r="L506" s="24" t="s">
        <v>289</v>
      </c>
      <c r="N506" s="270"/>
    </row>
    <row r="507" spans="1:14" s="52" customFormat="1" ht="12" customHeight="1" x14ac:dyDescent="0.2">
      <c r="A507" s="95" t="s">
        <v>40</v>
      </c>
      <c r="B507" s="104">
        <v>20</v>
      </c>
      <c r="C507" s="114">
        <v>15</v>
      </c>
      <c r="D507" s="2" t="s">
        <v>433</v>
      </c>
      <c r="E507" s="114"/>
      <c r="F507" s="143"/>
      <c r="G507" s="143"/>
      <c r="H507" s="143"/>
      <c r="I507" s="143"/>
      <c r="J507" s="24" t="s">
        <v>289</v>
      </c>
      <c r="K507" s="24" t="s">
        <v>289</v>
      </c>
      <c r="L507" s="24" t="s">
        <v>289</v>
      </c>
      <c r="N507" s="270"/>
    </row>
    <row r="508" spans="1:14" s="52" customFormat="1" ht="12" customHeight="1" x14ac:dyDescent="0.2">
      <c r="A508" s="95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0"/>
    </row>
    <row r="509" spans="1:14" s="52" customFormat="1" ht="12" customHeight="1" x14ac:dyDescent="0.2">
      <c r="A509" s="146" t="s">
        <v>910</v>
      </c>
      <c r="B509" s="22"/>
      <c r="C509" s="22"/>
      <c r="D509" s="22"/>
      <c r="E509" s="22"/>
      <c r="F509" s="121" t="s">
        <v>46</v>
      </c>
      <c r="G509" s="121"/>
      <c r="H509" s="122" t="s">
        <v>47</v>
      </c>
      <c r="I509" s="122"/>
      <c r="J509" s="53"/>
      <c r="K509" s="53"/>
      <c r="L509" s="53"/>
      <c r="N509" s="270"/>
    </row>
    <row r="510" spans="1:14" s="52" customFormat="1" ht="12" customHeight="1" x14ac:dyDescent="0.2">
      <c r="A510" s="95"/>
      <c r="B510" s="22"/>
      <c r="C510" s="22"/>
      <c r="D510" s="22"/>
      <c r="E510" s="22"/>
      <c r="F510" s="112" t="s">
        <v>48</v>
      </c>
      <c r="G510" s="112" t="s">
        <v>49</v>
      </c>
      <c r="H510" s="113" t="s">
        <v>48</v>
      </c>
      <c r="I510" s="113" t="s">
        <v>49</v>
      </c>
      <c r="J510" s="53"/>
      <c r="K510" s="53"/>
      <c r="L510" s="53"/>
      <c r="N510" s="270"/>
    </row>
    <row r="511" spans="1:14" s="52" customFormat="1" ht="12" customHeight="1" x14ac:dyDescent="0.2">
      <c r="A511" s="22" t="s">
        <v>631</v>
      </c>
      <c r="B511" s="74">
        <v>20</v>
      </c>
      <c r="C511" s="114">
        <v>16</v>
      </c>
      <c r="D511" s="2" t="s">
        <v>433</v>
      </c>
      <c r="E511" s="114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0"/>
    </row>
    <row r="512" spans="1:14" s="52" customFormat="1" ht="12" customHeight="1" x14ac:dyDescent="0.2">
      <c r="A512" s="22" t="s">
        <v>632</v>
      </c>
      <c r="B512" s="74">
        <v>20</v>
      </c>
      <c r="C512" s="114">
        <v>17</v>
      </c>
      <c r="D512" s="2" t="s">
        <v>433</v>
      </c>
      <c r="E512" s="114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0"/>
    </row>
    <row r="513" spans="1:14" s="52" customFormat="1" ht="12" customHeight="1" x14ac:dyDescent="0.2">
      <c r="A513" s="22" t="s">
        <v>633</v>
      </c>
      <c r="B513" s="74">
        <v>20</v>
      </c>
      <c r="C513" s="114">
        <v>18</v>
      </c>
      <c r="D513" s="2" t="s">
        <v>433</v>
      </c>
      <c r="E513" s="114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0"/>
    </row>
    <row r="514" spans="1:14" s="52" customFormat="1" ht="12" customHeight="1" x14ac:dyDescent="0.2">
      <c r="A514" s="22" t="s">
        <v>634</v>
      </c>
      <c r="B514" s="74">
        <v>20</v>
      </c>
      <c r="C514" s="114">
        <v>19</v>
      </c>
      <c r="D514" s="2" t="s">
        <v>433</v>
      </c>
      <c r="E514" s="114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0"/>
    </row>
    <row r="515" spans="1:14" s="52" customFormat="1" ht="12" customHeight="1" x14ac:dyDescent="0.2">
      <c r="A515" s="22" t="s">
        <v>635</v>
      </c>
      <c r="B515" s="74">
        <v>20</v>
      </c>
      <c r="C515" s="114">
        <v>20</v>
      </c>
      <c r="D515" s="2" t="s">
        <v>433</v>
      </c>
      <c r="E515" s="114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0"/>
    </row>
    <row r="516" spans="1:14" s="52" customFormat="1" ht="12" customHeight="1" thickBot="1" x14ac:dyDescent="0.25">
      <c r="A516" s="22" t="s">
        <v>636</v>
      </c>
      <c r="B516" s="74">
        <v>20</v>
      </c>
      <c r="C516" s="114">
        <v>21</v>
      </c>
      <c r="D516" s="2" t="s">
        <v>433</v>
      </c>
      <c r="E516" s="114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0"/>
    </row>
    <row r="517" spans="1:14" s="52" customFormat="1" ht="12" customHeight="1" thickTop="1" x14ac:dyDescent="0.2">
      <c r="A517" s="95" t="s">
        <v>428</v>
      </c>
      <c r="B517" s="74">
        <v>20</v>
      </c>
      <c r="C517" s="114">
        <v>22</v>
      </c>
      <c r="D517" s="2" t="s">
        <v>433</v>
      </c>
      <c r="E517" s="114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0"/>
    </row>
    <row r="518" spans="1:14" s="52" customFormat="1" ht="12" customHeight="1" x14ac:dyDescent="0.2">
      <c r="A518" s="95" t="s">
        <v>702</v>
      </c>
      <c r="B518" s="104"/>
      <c r="C518" s="114"/>
      <c r="D518" s="114"/>
      <c r="E518" s="114"/>
      <c r="F518" s="176" t="s">
        <v>693</v>
      </c>
      <c r="G518" s="176" t="s">
        <v>694</v>
      </c>
      <c r="H518" s="176" t="s">
        <v>695</v>
      </c>
      <c r="I518" s="176" t="s">
        <v>696</v>
      </c>
      <c r="J518" s="176" t="s">
        <v>697</v>
      </c>
      <c r="K518" s="176" t="s">
        <v>698</v>
      </c>
      <c r="L518" s="105"/>
      <c r="N518" s="270"/>
    </row>
    <row r="519" spans="1:14" s="52" customFormat="1" ht="12" customHeight="1" x14ac:dyDescent="0.2">
      <c r="A519" s="177" t="s">
        <v>701</v>
      </c>
      <c r="B519" s="104"/>
      <c r="C519" s="114"/>
      <c r="D519" s="114"/>
      <c r="E519" s="114"/>
      <c r="F519" s="102" t="s">
        <v>54</v>
      </c>
      <c r="G519" s="102" t="s">
        <v>55</v>
      </c>
      <c r="H519" s="105" t="s">
        <v>56</v>
      </c>
      <c r="I519" s="105" t="s">
        <v>57</v>
      </c>
      <c r="J519" s="105" t="s">
        <v>58</v>
      </c>
      <c r="K519" s="105" t="s">
        <v>59</v>
      </c>
      <c r="L519" s="105" t="s">
        <v>5</v>
      </c>
      <c r="N519" s="270"/>
    </row>
    <row r="520" spans="1:14" s="52" customFormat="1" ht="12" customHeight="1" x14ac:dyDescent="0.2">
      <c r="A520" s="95" t="s">
        <v>60</v>
      </c>
      <c r="B520" s="104"/>
      <c r="C520" s="114"/>
      <c r="D520" s="114"/>
      <c r="E520" s="114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0"/>
    </row>
    <row r="521" spans="1:14" s="52" customFormat="1" ht="12" customHeight="1" x14ac:dyDescent="0.2">
      <c r="A521" s="22" t="s">
        <v>637</v>
      </c>
      <c r="B521" s="104">
        <v>21</v>
      </c>
      <c r="C521" s="114">
        <v>1</v>
      </c>
      <c r="D521" s="2" t="s">
        <v>433</v>
      </c>
      <c r="E521" s="114"/>
      <c r="F521" s="18">
        <v>2129903.9300000002</v>
      </c>
      <c r="G521" s="18">
        <v>638971.18000000005</v>
      </c>
      <c r="H521" s="18">
        <v>142281.75</v>
      </c>
      <c r="I521" s="18">
        <v>21400.959999999999</v>
      </c>
      <c r="J521" s="18">
        <v>9880.6</v>
      </c>
      <c r="K521" s="18">
        <v>628.77</v>
      </c>
      <c r="L521" s="87">
        <f>SUM(F521:K521)</f>
        <v>2943067.1900000004</v>
      </c>
      <c r="N521" s="270"/>
    </row>
    <row r="522" spans="1:14" s="52" customFormat="1" ht="12" customHeight="1" x14ac:dyDescent="0.2">
      <c r="A522" s="22" t="s">
        <v>638</v>
      </c>
      <c r="B522" s="104">
        <v>21</v>
      </c>
      <c r="C522" s="114">
        <v>2</v>
      </c>
      <c r="D522" s="2" t="s">
        <v>433</v>
      </c>
      <c r="E522" s="114"/>
      <c r="F522" s="18">
        <v>1008046.01</v>
      </c>
      <c r="G522" s="18">
        <v>302413.8</v>
      </c>
      <c r="H522" s="18">
        <v>629904.05000000005</v>
      </c>
      <c r="I522" s="18">
        <v>4256.74</v>
      </c>
      <c r="J522" s="18">
        <v>945.13</v>
      </c>
      <c r="K522" s="18">
        <v>375.74</v>
      </c>
      <c r="L522" s="87">
        <f>SUM(F522:K522)</f>
        <v>1945941.47</v>
      </c>
      <c r="N522" s="270"/>
    </row>
    <row r="523" spans="1:14" s="52" customFormat="1" ht="12" customHeight="1" thickBot="1" x14ac:dyDescent="0.25">
      <c r="A523" s="22" t="s">
        <v>639</v>
      </c>
      <c r="B523" s="104">
        <v>21</v>
      </c>
      <c r="C523" s="114">
        <v>3</v>
      </c>
      <c r="D523" s="2" t="s">
        <v>433</v>
      </c>
      <c r="E523" s="114"/>
      <c r="F523" s="18">
        <v>1210375.8999999999</v>
      </c>
      <c r="G523" s="18">
        <v>363112.77</v>
      </c>
      <c r="H523" s="18">
        <v>1119891.08</v>
      </c>
      <c r="I523" s="18">
        <v>2856.87</v>
      </c>
      <c r="J523" s="18">
        <v>4337.99</v>
      </c>
      <c r="K523" s="18">
        <v>510.59</v>
      </c>
      <c r="L523" s="87">
        <f>SUM(F523:K523)</f>
        <v>2701085.2</v>
      </c>
      <c r="N523" s="270"/>
    </row>
    <row r="524" spans="1:14" s="52" customFormat="1" ht="12" customHeight="1" thickTop="1" x14ac:dyDescent="0.2">
      <c r="A524" s="138" t="s">
        <v>63</v>
      </c>
      <c r="B524" s="106">
        <v>21</v>
      </c>
      <c r="C524" s="194">
        <v>4</v>
      </c>
      <c r="D524" s="195" t="s">
        <v>433</v>
      </c>
      <c r="E524" s="194"/>
      <c r="F524" s="107">
        <f>SUM(F521:F523)</f>
        <v>4348325.84</v>
      </c>
      <c r="G524" s="107">
        <f t="shared" ref="G524:L524" si="36">SUM(G521:G523)</f>
        <v>1304497.75</v>
      </c>
      <c r="H524" s="107">
        <f t="shared" si="36"/>
        <v>1892076.8800000001</v>
      </c>
      <c r="I524" s="107">
        <f t="shared" si="36"/>
        <v>28514.569999999996</v>
      </c>
      <c r="J524" s="107">
        <f t="shared" si="36"/>
        <v>15163.72</v>
      </c>
      <c r="K524" s="107">
        <f t="shared" si="36"/>
        <v>1515.1</v>
      </c>
      <c r="L524" s="88">
        <f t="shared" si="36"/>
        <v>7590093.8600000003</v>
      </c>
      <c r="N524" s="270"/>
    </row>
    <row r="525" spans="1:14" s="52" customFormat="1" ht="12" customHeight="1" x14ac:dyDescent="0.2">
      <c r="A525" s="95" t="s">
        <v>64</v>
      </c>
      <c r="B525" s="104"/>
      <c r="C525" s="114"/>
      <c r="D525" s="114"/>
      <c r="E525" s="114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0"/>
    </row>
    <row r="526" spans="1:14" s="3" customFormat="1" ht="12" customHeight="1" x14ac:dyDescent="0.15">
      <c r="A526" s="22" t="s">
        <v>637</v>
      </c>
      <c r="B526" s="104">
        <v>21</v>
      </c>
      <c r="C526" s="114">
        <v>5</v>
      </c>
      <c r="D526" s="2" t="s">
        <v>433</v>
      </c>
      <c r="E526" s="114"/>
      <c r="F526" s="18">
        <v>1243988.18</v>
      </c>
      <c r="G526" s="18">
        <v>373196.45</v>
      </c>
      <c r="H526" s="18">
        <v>174759.86</v>
      </c>
      <c r="I526" s="18">
        <v>7025.24</v>
      </c>
      <c r="J526" s="18"/>
      <c r="K526" s="18"/>
      <c r="L526" s="87">
        <f>SUM(F526:K526)</f>
        <v>1798969.7299999997</v>
      </c>
      <c r="M526" s="8"/>
      <c r="N526" s="271"/>
    </row>
    <row r="527" spans="1:14" s="3" customFormat="1" ht="12" customHeight="1" x14ac:dyDescent="0.15">
      <c r="A527" s="22" t="s">
        <v>638</v>
      </c>
      <c r="B527" s="104">
        <v>21</v>
      </c>
      <c r="C527" s="114">
        <v>6</v>
      </c>
      <c r="D527" s="2" t="s">
        <v>433</v>
      </c>
      <c r="E527" s="114"/>
      <c r="F527" s="18">
        <v>260278.67</v>
      </c>
      <c r="G527" s="18">
        <v>78083.600000000006</v>
      </c>
      <c r="H527" s="18">
        <v>57950.93</v>
      </c>
      <c r="I527" s="18">
        <v>1931.61</v>
      </c>
      <c r="J527" s="18"/>
      <c r="K527" s="18"/>
      <c r="L527" s="87">
        <f>SUM(F527:K527)</f>
        <v>398244.81</v>
      </c>
      <c r="M527" s="8"/>
      <c r="N527" s="271"/>
    </row>
    <row r="528" spans="1:14" s="3" customFormat="1" ht="12" customHeight="1" thickBot="1" x14ac:dyDescent="0.2">
      <c r="A528" s="22" t="s">
        <v>639</v>
      </c>
      <c r="B528" s="117">
        <v>21</v>
      </c>
      <c r="C528" s="117">
        <v>7</v>
      </c>
      <c r="D528" s="2" t="s">
        <v>433</v>
      </c>
      <c r="E528" s="117"/>
      <c r="F528" s="18">
        <v>336489.17</v>
      </c>
      <c r="G528" s="18">
        <v>100946.75</v>
      </c>
      <c r="H528" s="18">
        <v>327108.59000000003</v>
      </c>
      <c r="I528" s="18">
        <v>2624.82</v>
      </c>
      <c r="J528" s="18"/>
      <c r="K528" s="18"/>
      <c r="L528" s="87">
        <f>SUM(F528:K528)</f>
        <v>767169.33</v>
      </c>
      <c r="M528" s="8"/>
      <c r="N528" s="271"/>
    </row>
    <row r="529" spans="1:14" s="3" customFormat="1" ht="12" customHeight="1" thickTop="1" x14ac:dyDescent="0.15">
      <c r="A529" s="138" t="s">
        <v>65</v>
      </c>
      <c r="B529" s="106">
        <v>21</v>
      </c>
      <c r="C529" s="106">
        <v>8</v>
      </c>
      <c r="D529" s="157" t="s">
        <v>433</v>
      </c>
      <c r="E529" s="106"/>
      <c r="F529" s="88">
        <f>SUM(F526:F528)</f>
        <v>1840756.0199999998</v>
      </c>
      <c r="G529" s="88">
        <f t="shared" ref="G529:L529" si="37">SUM(G526:G528)</f>
        <v>552226.80000000005</v>
      </c>
      <c r="H529" s="88">
        <f t="shared" si="37"/>
        <v>559819.38</v>
      </c>
      <c r="I529" s="88">
        <f t="shared" si="37"/>
        <v>11581.67</v>
      </c>
      <c r="J529" s="88">
        <f t="shared" si="37"/>
        <v>0</v>
      </c>
      <c r="K529" s="88">
        <f t="shared" si="37"/>
        <v>0</v>
      </c>
      <c r="L529" s="88">
        <f t="shared" si="37"/>
        <v>2964383.8699999996</v>
      </c>
      <c r="M529" s="8"/>
      <c r="N529" s="271"/>
    </row>
    <row r="530" spans="1:14" s="3" customFormat="1" ht="12" customHeight="1" x14ac:dyDescent="0.15">
      <c r="A530" s="96" t="s">
        <v>66</v>
      </c>
      <c r="B530" s="104"/>
      <c r="C530" s="104"/>
      <c r="D530" s="104"/>
      <c r="E530" s="104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1"/>
    </row>
    <row r="531" spans="1:14" s="3" customFormat="1" ht="12" customHeight="1" x14ac:dyDescent="0.15">
      <c r="A531" s="22" t="s">
        <v>637</v>
      </c>
      <c r="B531" s="104">
        <v>21</v>
      </c>
      <c r="C531" s="104">
        <v>9</v>
      </c>
      <c r="D531" s="2" t="s">
        <v>433</v>
      </c>
      <c r="E531" s="104"/>
      <c r="F531" s="18">
        <v>78493.399999999994</v>
      </c>
      <c r="G531" s="18">
        <v>31397.360000000001</v>
      </c>
      <c r="H531" s="18"/>
      <c r="I531" s="18"/>
      <c r="J531" s="18"/>
      <c r="K531" s="18"/>
      <c r="L531" s="87">
        <f>SUM(F531:K531)</f>
        <v>109890.76</v>
      </c>
      <c r="M531" s="8"/>
      <c r="N531" s="271"/>
    </row>
    <row r="532" spans="1:14" s="3" customFormat="1" ht="12" customHeight="1" x14ac:dyDescent="0.15">
      <c r="A532" s="22" t="s">
        <v>638</v>
      </c>
      <c r="B532" s="104">
        <v>21</v>
      </c>
      <c r="C532" s="104">
        <v>10</v>
      </c>
      <c r="D532" s="2" t="s">
        <v>433</v>
      </c>
      <c r="E532" s="104"/>
      <c r="F532" s="18">
        <v>46906.9</v>
      </c>
      <c r="G532" s="18">
        <v>18762.759999999998</v>
      </c>
      <c r="H532" s="18"/>
      <c r="I532" s="18"/>
      <c r="J532" s="18"/>
      <c r="K532" s="18"/>
      <c r="L532" s="87">
        <f>SUM(F532:K532)</f>
        <v>65669.66</v>
      </c>
      <c r="M532" s="8"/>
      <c r="N532" s="271"/>
    </row>
    <row r="533" spans="1:14" s="3" customFormat="1" ht="12" customHeight="1" thickBot="1" x14ac:dyDescent="0.2">
      <c r="A533" s="22" t="s">
        <v>639</v>
      </c>
      <c r="B533" s="104">
        <v>21</v>
      </c>
      <c r="C533" s="104">
        <v>11</v>
      </c>
      <c r="D533" s="2" t="s">
        <v>433</v>
      </c>
      <c r="E533" s="104"/>
      <c r="F533" s="18">
        <v>63740.42</v>
      </c>
      <c r="G533" s="18">
        <v>25496.17</v>
      </c>
      <c r="H533" s="18"/>
      <c r="I533" s="18"/>
      <c r="J533" s="18"/>
      <c r="K533" s="18"/>
      <c r="L533" s="87">
        <f>SUM(F533:K533)</f>
        <v>89236.59</v>
      </c>
      <c r="M533" s="8"/>
      <c r="N533" s="271"/>
    </row>
    <row r="534" spans="1:14" s="3" customFormat="1" ht="12" customHeight="1" thickTop="1" x14ac:dyDescent="0.15">
      <c r="A534" s="138" t="s">
        <v>67</v>
      </c>
      <c r="B534" s="106">
        <v>21</v>
      </c>
      <c r="C534" s="106">
        <v>12</v>
      </c>
      <c r="D534" s="157" t="s">
        <v>433</v>
      </c>
      <c r="E534" s="106"/>
      <c r="F534" s="88">
        <f>SUM(F531:F533)</f>
        <v>189140.71999999997</v>
      </c>
      <c r="G534" s="88">
        <f t="shared" ref="G534:L534" si="38">SUM(G531:G533)</f>
        <v>75656.289999999994</v>
      </c>
      <c r="H534" s="88">
        <f t="shared" si="38"/>
        <v>0</v>
      </c>
      <c r="I534" s="88">
        <f t="shared" si="38"/>
        <v>0</v>
      </c>
      <c r="J534" s="88">
        <f t="shared" si="38"/>
        <v>0</v>
      </c>
      <c r="K534" s="88">
        <f t="shared" si="38"/>
        <v>0</v>
      </c>
      <c r="L534" s="88">
        <f t="shared" si="38"/>
        <v>264797.01</v>
      </c>
      <c r="M534" s="8"/>
      <c r="N534" s="271"/>
    </row>
    <row r="535" spans="1:14" s="3" customFormat="1" ht="12" customHeight="1" x14ac:dyDescent="0.15">
      <c r="A535" s="96" t="s">
        <v>68</v>
      </c>
      <c r="B535" s="104"/>
      <c r="C535" s="104"/>
      <c r="D535" s="104"/>
      <c r="E535" s="104"/>
      <c r="F535" s="193" t="s">
        <v>289</v>
      </c>
      <c r="G535" s="193" t="s">
        <v>289</v>
      </c>
      <c r="H535" s="193" t="s">
        <v>289</v>
      </c>
      <c r="I535" s="193" t="s">
        <v>289</v>
      </c>
      <c r="J535" s="193" t="s">
        <v>289</v>
      </c>
      <c r="K535" s="193" t="s">
        <v>289</v>
      </c>
      <c r="L535" s="193" t="s">
        <v>289</v>
      </c>
      <c r="M535" s="8"/>
      <c r="N535" s="271"/>
    </row>
    <row r="536" spans="1:14" s="3" customFormat="1" ht="12" customHeight="1" x14ac:dyDescent="0.15">
      <c r="A536" s="22" t="s">
        <v>637</v>
      </c>
      <c r="B536" s="104">
        <v>21</v>
      </c>
      <c r="C536" s="104">
        <v>13</v>
      </c>
      <c r="D536" s="2" t="s">
        <v>433</v>
      </c>
      <c r="E536" s="104"/>
      <c r="F536" s="18"/>
      <c r="G536" s="18"/>
      <c r="H536" s="18">
        <v>986.69</v>
      </c>
      <c r="I536" s="18"/>
      <c r="J536" s="18"/>
      <c r="K536" s="18"/>
      <c r="L536" s="87">
        <f>SUM(F536:K536)</f>
        <v>986.69</v>
      </c>
      <c r="M536" s="8"/>
      <c r="N536" s="271"/>
    </row>
    <row r="537" spans="1:14" s="3" customFormat="1" ht="12" customHeight="1" x14ac:dyDescent="0.15">
      <c r="A537" s="22" t="s">
        <v>638</v>
      </c>
      <c r="B537" s="104">
        <v>21</v>
      </c>
      <c r="C537" s="104">
        <v>14</v>
      </c>
      <c r="D537" s="2" t="s">
        <v>433</v>
      </c>
      <c r="E537" s="104"/>
      <c r="F537" s="18"/>
      <c r="G537" s="18"/>
      <c r="H537" s="18">
        <v>589.64</v>
      </c>
      <c r="I537" s="18"/>
      <c r="J537" s="18"/>
      <c r="K537" s="18"/>
      <c r="L537" s="87">
        <f>SUM(F537:K537)</f>
        <v>589.64</v>
      </c>
      <c r="M537" s="8"/>
      <c r="N537" s="271"/>
    </row>
    <row r="538" spans="1:14" s="3" customFormat="1" ht="12" customHeight="1" thickBot="1" x14ac:dyDescent="0.2">
      <c r="A538" s="22" t="s">
        <v>639</v>
      </c>
      <c r="B538" s="104">
        <v>21</v>
      </c>
      <c r="C538" s="104">
        <v>15</v>
      </c>
      <c r="D538" s="2" t="s">
        <v>433</v>
      </c>
      <c r="E538" s="104"/>
      <c r="F538" s="18"/>
      <c r="G538" s="18"/>
      <c r="H538" s="18">
        <v>801.24</v>
      </c>
      <c r="I538" s="18"/>
      <c r="J538" s="18"/>
      <c r="K538" s="18"/>
      <c r="L538" s="87">
        <f>SUM(F538:K538)</f>
        <v>801.24</v>
      </c>
      <c r="M538" s="8"/>
      <c r="N538" s="271"/>
    </row>
    <row r="539" spans="1:14" s="3" customFormat="1" ht="12" customHeight="1" thickTop="1" x14ac:dyDescent="0.15">
      <c r="A539" s="138" t="s">
        <v>69</v>
      </c>
      <c r="B539" s="106">
        <v>21</v>
      </c>
      <c r="C539" s="106">
        <v>16</v>
      </c>
      <c r="D539" s="157" t="s">
        <v>433</v>
      </c>
      <c r="E539" s="106"/>
      <c r="F539" s="88">
        <f>SUM(F536:F538)</f>
        <v>0</v>
      </c>
      <c r="G539" s="88">
        <f t="shared" ref="G539:L539" si="39">SUM(G536:G538)</f>
        <v>0</v>
      </c>
      <c r="H539" s="88">
        <f t="shared" si="39"/>
        <v>2377.5699999999997</v>
      </c>
      <c r="I539" s="88">
        <f t="shared" si="39"/>
        <v>0</v>
      </c>
      <c r="J539" s="88">
        <f t="shared" si="39"/>
        <v>0</v>
      </c>
      <c r="K539" s="88">
        <f t="shared" si="39"/>
        <v>0</v>
      </c>
      <c r="L539" s="88">
        <f t="shared" si="39"/>
        <v>2377.5699999999997</v>
      </c>
      <c r="M539" s="8"/>
      <c r="N539" s="271"/>
    </row>
    <row r="540" spans="1:14" s="3" customFormat="1" ht="12" customHeight="1" x14ac:dyDescent="0.15">
      <c r="A540" s="96" t="s">
        <v>70</v>
      </c>
      <c r="B540" s="104"/>
      <c r="C540" s="104"/>
      <c r="D540" s="104"/>
      <c r="E540" s="104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1"/>
    </row>
    <row r="541" spans="1:14" s="3" customFormat="1" ht="12" customHeight="1" x14ac:dyDescent="0.15">
      <c r="A541" s="22" t="s">
        <v>637</v>
      </c>
      <c r="B541" s="104">
        <v>21</v>
      </c>
      <c r="C541" s="104">
        <v>17</v>
      </c>
      <c r="D541" s="2" t="s">
        <v>433</v>
      </c>
      <c r="E541" s="104"/>
      <c r="F541" s="18"/>
      <c r="G541" s="18"/>
      <c r="H541" s="18">
        <v>372018.24</v>
      </c>
      <c r="I541" s="18"/>
      <c r="J541" s="18"/>
      <c r="K541" s="18"/>
      <c r="L541" s="87">
        <f>SUM(F541:K541)</f>
        <v>372018.24</v>
      </c>
      <c r="M541" s="8"/>
      <c r="N541" s="271"/>
    </row>
    <row r="542" spans="1:14" s="3" customFormat="1" ht="12" customHeight="1" x14ac:dyDescent="0.15">
      <c r="A542" s="22" t="s">
        <v>638</v>
      </c>
      <c r="B542" s="104">
        <v>21</v>
      </c>
      <c r="C542" s="104">
        <v>18</v>
      </c>
      <c r="D542" s="2" t="s">
        <v>433</v>
      </c>
      <c r="E542" s="104"/>
      <c r="F542" s="18"/>
      <c r="G542" s="18"/>
      <c r="H542" s="18">
        <v>222314.52</v>
      </c>
      <c r="I542" s="18"/>
      <c r="J542" s="18"/>
      <c r="K542" s="18"/>
      <c r="L542" s="87">
        <f>SUM(F542:K542)</f>
        <v>222314.52</v>
      </c>
      <c r="M542" s="8"/>
      <c r="N542" s="271"/>
    </row>
    <row r="543" spans="1:14" s="3" customFormat="1" ht="12" customHeight="1" thickBot="1" x14ac:dyDescent="0.2">
      <c r="A543" s="22" t="s">
        <v>639</v>
      </c>
      <c r="B543" s="104">
        <v>21</v>
      </c>
      <c r="C543" s="104">
        <v>19</v>
      </c>
      <c r="D543" s="2" t="s">
        <v>433</v>
      </c>
      <c r="E543" s="104"/>
      <c r="F543" s="18"/>
      <c r="G543" s="18"/>
      <c r="H543" s="18">
        <v>302096.74</v>
      </c>
      <c r="I543" s="18"/>
      <c r="J543" s="18"/>
      <c r="K543" s="18"/>
      <c r="L543" s="87">
        <f>SUM(F543:K543)</f>
        <v>302096.74</v>
      </c>
      <c r="M543" s="8"/>
      <c r="N543" s="271"/>
    </row>
    <row r="544" spans="1:14" s="3" customFormat="1" ht="12" customHeight="1" thickTop="1" thickBot="1" x14ac:dyDescent="0.2">
      <c r="A544" s="129" t="s">
        <v>71</v>
      </c>
      <c r="B544" s="190">
        <v>21</v>
      </c>
      <c r="C544" s="190">
        <v>20</v>
      </c>
      <c r="D544" s="191" t="s">
        <v>433</v>
      </c>
      <c r="E544" s="190"/>
      <c r="F544" s="192">
        <f>SUM(F541:F543)</f>
        <v>0</v>
      </c>
      <c r="G544" s="192">
        <f t="shared" ref="G544:L544" si="40">SUM(G541:G543)</f>
        <v>0</v>
      </c>
      <c r="H544" s="192">
        <f t="shared" si="40"/>
        <v>896429.5</v>
      </c>
      <c r="I544" s="192">
        <f t="shared" si="40"/>
        <v>0</v>
      </c>
      <c r="J544" s="192">
        <f t="shared" si="40"/>
        <v>0</v>
      </c>
      <c r="K544" s="192">
        <f t="shared" si="40"/>
        <v>0</v>
      </c>
      <c r="L544" s="192">
        <f t="shared" si="40"/>
        <v>896429.5</v>
      </c>
      <c r="M544" s="8"/>
      <c r="N544" s="271"/>
    </row>
    <row r="545" spans="1:14" s="3" customFormat="1" ht="12" customHeight="1" thickTop="1" x14ac:dyDescent="0.15">
      <c r="A545" s="97" t="s">
        <v>72</v>
      </c>
      <c r="B545" s="106">
        <v>21</v>
      </c>
      <c r="C545" s="106">
        <v>21</v>
      </c>
      <c r="D545" s="157" t="s">
        <v>433</v>
      </c>
      <c r="E545" s="106"/>
      <c r="F545" s="88">
        <f>F524+F529+F534+F539+F544</f>
        <v>6378222.5799999991</v>
      </c>
      <c r="G545" s="88">
        <f t="shared" ref="G545:L545" si="41">G524+G529+G534+G539+G544</f>
        <v>1932380.84</v>
      </c>
      <c r="H545" s="88">
        <f t="shared" si="41"/>
        <v>3350703.33</v>
      </c>
      <c r="I545" s="88">
        <f t="shared" si="41"/>
        <v>40096.239999999998</v>
      </c>
      <c r="J545" s="88">
        <f t="shared" si="41"/>
        <v>15163.72</v>
      </c>
      <c r="K545" s="88">
        <f t="shared" si="41"/>
        <v>1515.1</v>
      </c>
      <c r="L545" s="88">
        <f t="shared" si="41"/>
        <v>11718081.810000001</v>
      </c>
      <c r="M545" s="8"/>
      <c r="N545" s="271"/>
    </row>
    <row r="546" spans="1:14" s="3" customFormat="1" ht="12" customHeight="1" x14ac:dyDescent="0.15">
      <c r="A546" s="98"/>
      <c r="B546" s="104"/>
      <c r="C546" s="104"/>
      <c r="D546" s="104"/>
      <c r="E546" s="104"/>
      <c r="F546" s="86"/>
      <c r="G546" s="86"/>
      <c r="H546" s="86"/>
      <c r="I546" s="86"/>
      <c r="J546" s="86"/>
      <c r="K546" s="86"/>
      <c r="L546" s="86"/>
      <c r="M546" s="8"/>
      <c r="N546" s="271"/>
    </row>
    <row r="547" spans="1:14" s="3" customFormat="1" ht="12" customHeight="1" x14ac:dyDescent="0.15">
      <c r="A547" s="99" t="s">
        <v>73</v>
      </c>
      <c r="B547" s="104"/>
      <c r="C547" s="104"/>
      <c r="D547" s="104"/>
      <c r="E547" s="104"/>
      <c r="F547" s="100" t="s">
        <v>74</v>
      </c>
      <c r="G547" s="86" t="s">
        <v>75</v>
      </c>
      <c r="H547" s="86" t="s">
        <v>76</v>
      </c>
      <c r="I547" s="100" t="s">
        <v>77</v>
      </c>
      <c r="J547" s="86" t="s">
        <v>78</v>
      </c>
      <c r="K547" s="100" t="s">
        <v>79</v>
      </c>
      <c r="L547" s="24" t="s">
        <v>289</v>
      </c>
      <c r="M547" s="8"/>
      <c r="N547" s="271"/>
    </row>
    <row r="548" spans="1:14" s="3" customFormat="1" ht="12" customHeight="1" x14ac:dyDescent="0.15">
      <c r="A548" s="99" t="s">
        <v>250</v>
      </c>
      <c r="B548" s="104"/>
      <c r="C548" s="104"/>
      <c r="D548" s="104"/>
      <c r="E548" s="104"/>
      <c r="F548" s="100" t="s">
        <v>80</v>
      </c>
      <c r="G548" s="100" t="s">
        <v>81</v>
      </c>
      <c r="H548" s="100" t="s">
        <v>82</v>
      </c>
      <c r="I548" s="100" t="s">
        <v>83</v>
      </c>
      <c r="J548" s="100" t="s">
        <v>84</v>
      </c>
      <c r="K548" s="86"/>
      <c r="L548" s="24" t="s">
        <v>289</v>
      </c>
      <c r="M548" s="8"/>
      <c r="N548" s="271"/>
    </row>
    <row r="549" spans="1:14" s="3" customFormat="1" ht="12" customHeight="1" x14ac:dyDescent="0.15">
      <c r="A549" s="22" t="s">
        <v>637</v>
      </c>
      <c r="B549" s="74">
        <v>21</v>
      </c>
      <c r="C549" s="74">
        <v>22</v>
      </c>
      <c r="D549" s="2" t="s">
        <v>433</v>
      </c>
      <c r="E549" s="74"/>
      <c r="F549" s="86">
        <f>L521</f>
        <v>2943067.1900000004</v>
      </c>
      <c r="G549" s="86">
        <f>L526</f>
        <v>1798969.7299999997</v>
      </c>
      <c r="H549" s="86">
        <f>L531</f>
        <v>109890.76</v>
      </c>
      <c r="I549" s="86">
        <f>L536</f>
        <v>986.69</v>
      </c>
      <c r="J549" s="86">
        <f>L541</f>
        <v>372018.24</v>
      </c>
      <c r="K549" s="86">
        <f>SUM(F549:J549)</f>
        <v>5224932.6100000003</v>
      </c>
      <c r="L549" s="24" t="s">
        <v>289</v>
      </c>
      <c r="M549" s="8"/>
      <c r="N549" s="271"/>
    </row>
    <row r="550" spans="1:14" s="3" customFormat="1" ht="12" customHeight="1" x14ac:dyDescent="0.15">
      <c r="A550" s="22" t="s">
        <v>638</v>
      </c>
      <c r="B550" s="74">
        <v>21</v>
      </c>
      <c r="C550" s="74">
        <v>23</v>
      </c>
      <c r="D550" s="2" t="s">
        <v>433</v>
      </c>
      <c r="E550" s="74"/>
      <c r="F550" s="86">
        <f>L522</f>
        <v>1945941.47</v>
      </c>
      <c r="G550" s="86">
        <f>L527</f>
        <v>398244.81</v>
      </c>
      <c r="H550" s="86">
        <f>L532</f>
        <v>65669.66</v>
      </c>
      <c r="I550" s="86">
        <f>L537</f>
        <v>589.64</v>
      </c>
      <c r="J550" s="86">
        <f>L542</f>
        <v>222314.52</v>
      </c>
      <c r="K550" s="86">
        <f>SUM(F550:J550)</f>
        <v>2632760.1</v>
      </c>
      <c r="L550" s="24" t="s">
        <v>289</v>
      </c>
      <c r="M550" s="8"/>
      <c r="N550" s="271"/>
    </row>
    <row r="551" spans="1:14" s="3" customFormat="1" ht="12" customHeight="1" thickBot="1" x14ac:dyDescent="0.2">
      <c r="A551" s="22" t="s">
        <v>639</v>
      </c>
      <c r="B551" s="74">
        <v>21</v>
      </c>
      <c r="C551" s="74">
        <v>24</v>
      </c>
      <c r="D551" s="2" t="s">
        <v>433</v>
      </c>
      <c r="E551" s="74"/>
      <c r="F551" s="86">
        <f>L523</f>
        <v>2701085.2</v>
      </c>
      <c r="G551" s="86">
        <f>L528</f>
        <v>767169.33</v>
      </c>
      <c r="H551" s="86">
        <f>L533</f>
        <v>89236.59</v>
      </c>
      <c r="I551" s="86">
        <f>L538</f>
        <v>801.24</v>
      </c>
      <c r="J551" s="86">
        <f>L543</f>
        <v>302096.74</v>
      </c>
      <c r="K551" s="86">
        <f>SUM(F551:J551)</f>
        <v>3860389.1000000006</v>
      </c>
      <c r="L551" s="24" t="s">
        <v>289</v>
      </c>
      <c r="M551" s="8"/>
      <c r="N551" s="271"/>
    </row>
    <row r="552" spans="1:14" s="3" customFormat="1" ht="12" customHeight="1" thickTop="1" x14ac:dyDescent="0.15">
      <c r="A552" s="171" t="s">
        <v>341</v>
      </c>
      <c r="B552" s="44">
        <v>21</v>
      </c>
      <c r="C552" s="44">
        <v>25</v>
      </c>
      <c r="D552" s="39" t="s">
        <v>433</v>
      </c>
      <c r="E552" s="44"/>
      <c r="F552" s="88">
        <f t="shared" ref="F552:K552" si="42">SUM(F549:F551)</f>
        <v>7590093.8600000003</v>
      </c>
      <c r="G552" s="88">
        <f t="shared" si="42"/>
        <v>2964383.8699999996</v>
      </c>
      <c r="H552" s="88">
        <f t="shared" si="42"/>
        <v>264797.01</v>
      </c>
      <c r="I552" s="88">
        <f t="shared" si="42"/>
        <v>2377.5699999999997</v>
      </c>
      <c r="J552" s="88">
        <f t="shared" si="42"/>
        <v>896429.5</v>
      </c>
      <c r="K552" s="88">
        <f t="shared" si="42"/>
        <v>11718081.810000002</v>
      </c>
      <c r="L552" s="24"/>
      <c r="M552" s="8"/>
      <c r="N552" s="271"/>
    </row>
    <row r="553" spans="1:14" s="3" customFormat="1" ht="12" customHeight="1" x14ac:dyDescent="0.15">
      <c r="A553" s="95" t="s">
        <v>583</v>
      </c>
      <c r="B553" s="104"/>
      <c r="C553" s="104"/>
      <c r="D553" s="104"/>
      <c r="E553" s="104"/>
      <c r="F553" s="86"/>
      <c r="G553" s="86"/>
      <c r="H553" s="86"/>
      <c r="I553" s="86"/>
      <c r="J553" s="86"/>
      <c r="K553" s="86"/>
      <c r="L553" s="86"/>
      <c r="M553" s="8"/>
      <c r="N553" s="271"/>
    </row>
    <row r="554" spans="1:14" s="3" customFormat="1" ht="12" customHeight="1" x14ac:dyDescent="0.15">
      <c r="B554" s="104"/>
      <c r="C554" s="114"/>
      <c r="D554" s="114"/>
      <c r="E554" s="114"/>
      <c r="F554" s="176" t="s">
        <v>693</v>
      </c>
      <c r="G554" s="176" t="s">
        <v>694</v>
      </c>
      <c r="H554" s="176" t="s">
        <v>695</v>
      </c>
      <c r="I554" s="176" t="s">
        <v>696</v>
      </c>
      <c r="J554" s="176" t="s">
        <v>697</v>
      </c>
      <c r="K554" s="176" t="s">
        <v>698</v>
      </c>
      <c r="L554" s="105"/>
      <c r="M554" s="8"/>
      <c r="N554" s="271"/>
    </row>
    <row r="555" spans="1:14" s="3" customFormat="1" ht="12" customHeight="1" x14ac:dyDescent="0.15">
      <c r="A555" s="95" t="s">
        <v>50</v>
      </c>
      <c r="B555" s="104"/>
      <c r="C555" s="114"/>
      <c r="D555" s="114"/>
      <c r="E555" s="114"/>
      <c r="F555" s="102" t="s">
        <v>54</v>
      </c>
      <c r="G555" s="102" t="s">
        <v>55</v>
      </c>
      <c r="H555" s="105" t="s">
        <v>56</v>
      </c>
      <c r="I555" s="105" t="s">
        <v>57</v>
      </c>
      <c r="J555" s="105" t="s">
        <v>58</v>
      </c>
      <c r="K555" s="105" t="s">
        <v>59</v>
      </c>
      <c r="L555" s="105" t="s">
        <v>5</v>
      </c>
      <c r="M555" s="8"/>
      <c r="N555" s="271"/>
    </row>
    <row r="556" spans="1:14" s="3" customFormat="1" ht="12" customHeight="1" x14ac:dyDescent="0.15">
      <c r="A556" s="95" t="s">
        <v>85</v>
      </c>
      <c r="B556" s="104"/>
      <c r="C556" s="114"/>
      <c r="D556" s="114"/>
      <c r="E556" s="114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1"/>
    </row>
    <row r="557" spans="1:14" s="3" customFormat="1" ht="12" customHeight="1" x14ac:dyDescent="0.15">
      <c r="A557" s="22" t="s">
        <v>637</v>
      </c>
      <c r="B557" s="104">
        <v>22</v>
      </c>
      <c r="C557" s="114">
        <v>1</v>
      </c>
      <c r="D557" s="2" t="s">
        <v>433</v>
      </c>
      <c r="E557" s="114"/>
      <c r="F557" s="18"/>
      <c r="G557" s="18"/>
      <c r="H557" s="18"/>
      <c r="I557" s="18"/>
      <c r="J557" s="18"/>
      <c r="K557" s="18"/>
      <c r="L557" s="87">
        <f>SUM(F557:K557)</f>
        <v>0</v>
      </c>
      <c r="M557" s="8"/>
      <c r="N557" s="271"/>
    </row>
    <row r="558" spans="1:14" s="3" customFormat="1" ht="12" customHeight="1" x14ac:dyDescent="0.15">
      <c r="A558" s="22" t="s">
        <v>638</v>
      </c>
      <c r="B558" s="104">
        <v>22</v>
      </c>
      <c r="C558" s="114">
        <v>2</v>
      </c>
      <c r="D558" s="2" t="s">
        <v>433</v>
      </c>
      <c r="E558" s="114"/>
      <c r="F558" s="18"/>
      <c r="G558" s="18"/>
      <c r="H558" s="18"/>
      <c r="I558" s="18"/>
      <c r="J558" s="18"/>
      <c r="K558" s="18"/>
      <c r="L558" s="87">
        <f>SUM(F558:K558)</f>
        <v>0</v>
      </c>
      <c r="M558" s="8"/>
      <c r="N558" s="271"/>
    </row>
    <row r="559" spans="1:14" s="3" customFormat="1" ht="12" customHeight="1" thickBot="1" x14ac:dyDescent="0.2">
      <c r="A559" s="22" t="s">
        <v>639</v>
      </c>
      <c r="B559" s="104">
        <v>22</v>
      </c>
      <c r="C559" s="114">
        <v>3</v>
      </c>
      <c r="D559" s="2" t="s">
        <v>433</v>
      </c>
      <c r="E559" s="114"/>
      <c r="F559" s="18"/>
      <c r="G559" s="18"/>
      <c r="H559" s="18"/>
      <c r="I559" s="18"/>
      <c r="J559" s="18"/>
      <c r="K559" s="18"/>
      <c r="L559" s="87">
        <f>SUM(F559:K559)</f>
        <v>0</v>
      </c>
      <c r="M559" s="8"/>
      <c r="N559" s="271"/>
    </row>
    <row r="560" spans="1:14" s="3" customFormat="1" ht="12" customHeight="1" thickTop="1" x14ac:dyDescent="0.15">
      <c r="A560" s="138" t="s">
        <v>63</v>
      </c>
      <c r="B560" s="106">
        <v>22</v>
      </c>
      <c r="C560" s="194">
        <v>4</v>
      </c>
      <c r="D560" s="195" t="s">
        <v>433</v>
      </c>
      <c r="E560" s="194"/>
      <c r="F560" s="107">
        <f t="shared" ref="F560:L560" si="43">SUM(F557:F559)</f>
        <v>0</v>
      </c>
      <c r="G560" s="107">
        <f t="shared" si="43"/>
        <v>0</v>
      </c>
      <c r="H560" s="107">
        <f t="shared" si="43"/>
        <v>0</v>
      </c>
      <c r="I560" s="107">
        <f t="shared" si="43"/>
        <v>0</v>
      </c>
      <c r="J560" s="107">
        <f t="shared" si="43"/>
        <v>0</v>
      </c>
      <c r="K560" s="107">
        <f t="shared" si="43"/>
        <v>0</v>
      </c>
      <c r="L560" s="88">
        <f t="shared" si="43"/>
        <v>0</v>
      </c>
      <c r="M560" s="8"/>
      <c r="N560" s="271"/>
    </row>
    <row r="561" spans="1:14" s="3" customFormat="1" ht="12" customHeight="1" x14ac:dyDescent="0.15">
      <c r="A561" s="95" t="s">
        <v>86</v>
      </c>
      <c r="B561" s="104"/>
      <c r="C561" s="114"/>
      <c r="D561" s="114"/>
      <c r="E561" s="114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1"/>
    </row>
    <row r="562" spans="1:14" s="3" customFormat="1" ht="12" customHeight="1" x14ac:dyDescent="0.15">
      <c r="A562" s="22" t="s">
        <v>637</v>
      </c>
      <c r="B562" s="104">
        <v>22</v>
      </c>
      <c r="C562" s="114">
        <v>5</v>
      </c>
      <c r="D562" s="2" t="s">
        <v>433</v>
      </c>
      <c r="E562" s="114"/>
      <c r="F562" s="18">
        <v>104691.7</v>
      </c>
      <c r="G562" s="18">
        <v>709.03</v>
      </c>
      <c r="H562" s="18">
        <v>529.83000000000004</v>
      </c>
      <c r="I562" s="18">
        <v>1292.8</v>
      </c>
      <c r="J562" s="18"/>
      <c r="K562" s="18"/>
      <c r="L562" s="87">
        <f>SUM(F562:K562)</f>
        <v>107223.36</v>
      </c>
      <c r="M562" s="8"/>
      <c r="N562" s="271"/>
    </row>
    <row r="563" spans="1:14" s="3" customFormat="1" ht="12" customHeight="1" x14ac:dyDescent="0.15">
      <c r="A563" s="22" t="s">
        <v>638</v>
      </c>
      <c r="B563" s="104">
        <v>22</v>
      </c>
      <c r="C563" s="114">
        <v>6</v>
      </c>
      <c r="D563" s="2" t="s">
        <v>433</v>
      </c>
      <c r="E563" s="114"/>
      <c r="F563" s="18">
        <v>62491.040000000001</v>
      </c>
      <c r="G563" s="18">
        <v>423.71</v>
      </c>
      <c r="H563" s="18">
        <v>316.62</v>
      </c>
      <c r="I563" s="18">
        <v>772.56</v>
      </c>
      <c r="J563" s="18"/>
      <c r="K563" s="18"/>
      <c r="L563" s="87">
        <f>SUM(F563:K563)</f>
        <v>64003.93</v>
      </c>
      <c r="M563" s="8"/>
      <c r="N563" s="271"/>
    </row>
    <row r="564" spans="1:14" s="3" customFormat="1" ht="12" customHeight="1" thickBot="1" x14ac:dyDescent="0.2">
      <c r="A564" s="22" t="s">
        <v>639</v>
      </c>
      <c r="B564" s="104">
        <v>22</v>
      </c>
      <c r="C564" s="117">
        <v>7</v>
      </c>
      <c r="D564" s="2" t="s">
        <v>433</v>
      </c>
      <c r="E564" s="117"/>
      <c r="F564" s="18">
        <v>86447.64</v>
      </c>
      <c r="G564" s="18">
        <v>900.7</v>
      </c>
      <c r="H564" s="18">
        <v>430.25</v>
      </c>
      <c r="I564" s="18">
        <v>1049.81</v>
      </c>
      <c r="J564" s="18"/>
      <c r="K564" s="18"/>
      <c r="L564" s="87">
        <f>SUM(F564:K564)</f>
        <v>88828.4</v>
      </c>
      <c r="M564" s="8"/>
      <c r="N564" s="271"/>
    </row>
    <row r="565" spans="1:14" s="3" customFormat="1" ht="12" customHeight="1" thickTop="1" x14ac:dyDescent="0.15">
      <c r="A565" s="138" t="s">
        <v>65</v>
      </c>
      <c r="B565" s="106">
        <v>22</v>
      </c>
      <c r="C565" s="106">
        <v>8</v>
      </c>
      <c r="D565" s="195" t="s">
        <v>433</v>
      </c>
      <c r="E565" s="106"/>
      <c r="F565" s="88">
        <f t="shared" ref="F565:L565" si="44">SUM(F562:F564)</f>
        <v>253630.38</v>
      </c>
      <c r="G565" s="88">
        <f t="shared" si="44"/>
        <v>2033.44</v>
      </c>
      <c r="H565" s="88">
        <f t="shared" si="44"/>
        <v>1276.7</v>
      </c>
      <c r="I565" s="88">
        <f t="shared" si="44"/>
        <v>3115.1699999999996</v>
      </c>
      <c r="J565" s="88">
        <f t="shared" si="44"/>
        <v>0</v>
      </c>
      <c r="K565" s="88">
        <f t="shared" si="44"/>
        <v>0</v>
      </c>
      <c r="L565" s="88">
        <f t="shared" si="44"/>
        <v>260055.69</v>
      </c>
      <c r="M565" s="8"/>
      <c r="N565" s="271"/>
    </row>
    <row r="566" spans="1:14" s="3" customFormat="1" ht="12" customHeight="1" x14ac:dyDescent="0.15">
      <c r="A566" s="96" t="s">
        <v>87</v>
      </c>
      <c r="B566" s="104"/>
      <c r="C566" s="104"/>
      <c r="D566" s="104"/>
      <c r="E566" s="104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1"/>
    </row>
    <row r="567" spans="1:14" s="3" customFormat="1" ht="12" customHeight="1" x14ac:dyDescent="0.15">
      <c r="A567" s="22" t="s">
        <v>637</v>
      </c>
      <c r="B567" s="104">
        <v>22</v>
      </c>
      <c r="C567" s="104">
        <v>9</v>
      </c>
      <c r="D567" s="2" t="s">
        <v>433</v>
      </c>
      <c r="E567" s="104"/>
      <c r="F567" s="18"/>
      <c r="G567" s="18"/>
      <c r="H567" s="18"/>
      <c r="I567" s="18"/>
      <c r="J567" s="18"/>
      <c r="K567" s="18"/>
      <c r="L567" s="87">
        <f>SUM(F567:K567)</f>
        <v>0</v>
      </c>
      <c r="M567" s="8"/>
      <c r="N567" s="271"/>
    </row>
    <row r="568" spans="1:14" s="3" customFormat="1" ht="12" customHeight="1" x14ac:dyDescent="0.15">
      <c r="A568" s="22" t="s">
        <v>638</v>
      </c>
      <c r="B568" s="104">
        <v>22</v>
      </c>
      <c r="C568" s="104">
        <v>10</v>
      </c>
      <c r="D568" s="2" t="s">
        <v>433</v>
      </c>
      <c r="E568" s="104"/>
      <c r="F568" s="18"/>
      <c r="G568" s="18"/>
      <c r="H568" s="18"/>
      <c r="I568" s="18"/>
      <c r="J568" s="18"/>
      <c r="K568" s="18"/>
      <c r="L568" s="87">
        <f>SUM(F568:K568)</f>
        <v>0</v>
      </c>
      <c r="M568" s="8"/>
      <c r="N568" s="271"/>
    </row>
    <row r="569" spans="1:14" s="3" customFormat="1" ht="12" customHeight="1" thickBot="1" x14ac:dyDescent="0.2">
      <c r="A569" s="22" t="s">
        <v>639</v>
      </c>
      <c r="B569" s="104">
        <v>22</v>
      </c>
      <c r="C569" s="104">
        <v>11</v>
      </c>
      <c r="D569" s="2" t="s">
        <v>433</v>
      </c>
      <c r="E569" s="104"/>
      <c r="F569" s="18"/>
      <c r="G569" s="18"/>
      <c r="H569" s="18"/>
      <c r="I569" s="18"/>
      <c r="J569" s="18"/>
      <c r="K569" s="18"/>
      <c r="L569" s="87">
        <f>SUM(F569:K569)</f>
        <v>0</v>
      </c>
      <c r="M569" s="8"/>
      <c r="N569" s="271"/>
    </row>
    <row r="570" spans="1:14" s="3" customFormat="1" ht="12" customHeight="1" thickTop="1" thickBot="1" x14ac:dyDescent="0.2">
      <c r="A570" s="129" t="s">
        <v>67</v>
      </c>
      <c r="B570" s="190">
        <v>22</v>
      </c>
      <c r="C570" s="190">
        <v>12</v>
      </c>
      <c r="D570" s="196" t="s">
        <v>433</v>
      </c>
      <c r="E570" s="190"/>
      <c r="F570" s="192">
        <f>SUM(F567:F569)</f>
        <v>0</v>
      </c>
      <c r="G570" s="192">
        <f t="shared" ref="G570:L570" si="45">SUM(G567:G569)</f>
        <v>0</v>
      </c>
      <c r="H570" s="192">
        <f t="shared" si="45"/>
        <v>0</v>
      </c>
      <c r="I570" s="192">
        <f t="shared" si="45"/>
        <v>0</v>
      </c>
      <c r="J570" s="192">
        <f t="shared" si="45"/>
        <v>0</v>
      </c>
      <c r="K570" s="192">
        <f t="shared" si="45"/>
        <v>0</v>
      </c>
      <c r="L570" s="192">
        <f t="shared" si="45"/>
        <v>0</v>
      </c>
      <c r="M570" s="8"/>
      <c r="N570" s="271"/>
    </row>
    <row r="571" spans="1:14" s="3" customFormat="1" ht="12" customHeight="1" thickTop="1" x14ac:dyDescent="0.15">
      <c r="A571" s="97" t="s">
        <v>88</v>
      </c>
      <c r="B571" s="106">
        <v>22</v>
      </c>
      <c r="C571" s="106">
        <v>13</v>
      </c>
      <c r="D571" s="157" t="s">
        <v>433</v>
      </c>
      <c r="E571" s="106"/>
      <c r="F571" s="88">
        <f>F560+F565+F570</f>
        <v>253630.38</v>
      </c>
      <c r="G571" s="88">
        <f t="shared" ref="G571:L571" si="46">G560+G565+G570</f>
        <v>2033.44</v>
      </c>
      <c r="H571" s="88">
        <f t="shared" si="46"/>
        <v>1276.7</v>
      </c>
      <c r="I571" s="88">
        <f t="shared" si="46"/>
        <v>3115.1699999999996</v>
      </c>
      <c r="J571" s="88">
        <f t="shared" si="46"/>
        <v>0</v>
      </c>
      <c r="K571" s="88">
        <f t="shared" si="46"/>
        <v>0</v>
      </c>
      <c r="L571" s="88">
        <f t="shared" si="46"/>
        <v>260055.69</v>
      </c>
      <c r="M571" s="8"/>
      <c r="N571" s="271"/>
    </row>
    <row r="572" spans="1:14" s="3" customFormat="1" ht="12" customHeight="1" x14ac:dyDescent="0.15">
      <c r="A572" s="96"/>
      <c r="B572" s="74"/>
      <c r="C572" s="74"/>
      <c r="D572" s="74"/>
      <c r="E572" s="74"/>
      <c r="F572" s="86"/>
      <c r="G572" s="86"/>
      <c r="H572" s="86"/>
      <c r="I572" s="86"/>
      <c r="J572" s="86"/>
      <c r="K572" s="86"/>
      <c r="L572" s="86"/>
      <c r="M572" s="8"/>
      <c r="N572" s="271"/>
    </row>
    <row r="573" spans="1:14" s="3" customFormat="1" ht="12" customHeight="1" x14ac:dyDescent="0.15">
      <c r="A573" s="96" t="s">
        <v>775</v>
      </c>
      <c r="B573" s="74"/>
      <c r="C573" s="74"/>
      <c r="D573" s="74"/>
      <c r="E573" s="74"/>
      <c r="F573" s="86"/>
      <c r="G573" s="86"/>
      <c r="H573" s="86"/>
      <c r="I573" s="86"/>
      <c r="J573" s="86"/>
      <c r="K573" s="86"/>
      <c r="L573" s="86"/>
      <c r="M573" s="8"/>
      <c r="N573" s="271"/>
    </row>
    <row r="574" spans="1:14" s="3" customFormat="1" ht="12" customHeight="1" x14ac:dyDescent="0.15">
      <c r="A574" s="96" t="s">
        <v>89</v>
      </c>
      <c r="B574" s="74"/>
      <c r="C574" s="74"/>
      <c r="D574" s="74"/>
      <c r="E574" s="74" t="s">
        <v>95</v>
      </c>
      <c r="F574" s="100" t="s">
        <v>90</v>
      </c>
      <c r="G574" s="100" t="s">
        <v>91</v>
      </c>
      <c r="H574" s="100" t="s">
        <v>92</v>
      </c>
      <c r="I574" s="100" t="s">
        <v>93</v>
      </c>
      <c r="J574" s="24" t="s">
        <v>289</v>
      </c>
      <c r="K574" s="24" t="s">
        <v>289</v>
      </c>
      <c r="L574" s="24" t="s">
        <v>289</v>
      </c>
      <c r="M574" s="8"/>
      <c r="N574" s="271"/>
    </row>
    <row r="575" spans="1:14" s="3" customFormat="1" ht="12" customHeight="1" x14ac:dyDescent="0.15">
      <c r="A575" s="98" t="s">
        <v>673</v>
      </c>
      <c r="B575" s="74">
        <v>22</v>
      </c>
      <c r="C575" s="74">
        <v>14</v>
      </c>
      <c r="D575" s="2" t="s">
        <v>433</v>
      </c>
      <c r="E575" s="74">
        <v>561</v>
      </c>
      <c r="F575" s="18"/>
      <c r="G575" s="18"/>
      <c r="H575" s="18"/>
      <c r="I575" s="86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1"/>
    </row>
    <row r="576" spans="1:14" s="3" customFormat="1" ht="12" customHeight="1" x14ac:dyDescent="0.15">
      <c r="A576" s="98" t="s">
        <v>674</v>
      </c>
      <c r="B576" s="74">
        <v>22</v>
      </c>
      <c r="C576" s="74">
        <v>15</v>
      </c>
      <c r="D576" s="2" t="s">
        <v>433</v>
      </c>
      <c r="E576" s="74">
        <v>562</v>
      </c>
      <c r="F576" s="18"/>
      <c r="G576" s="18"/>
      <c r="H576" s="18"/>
      <c r="I576" s="86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1"/>
    </row>
    <row r="577" spans="1:14" s="3" customFormat="1" ht="12" customHeight="1" x14ac:dyDescent="0.15">
      <c r="A577" s="98" t="s">
        <v>744</v>
      </c>
      <c r="B577" s="74">
        <v>22</v>
      </c>
      <c r="C577" s="74">
        <v>16</v>
      </c>
      <c r="D577" s="2" t="s">
        <v>433</v>
      </c>
      <c r="E577" s="74">
        <v>563</v>
      </c>
      <c r="F577" s="24" t="s">
        <v>289</v>
      </c>
      <c r="G577" s="24" t="s">
        <v>289</v>
      </c>
      <c r="H577" s="18"/>
      <c r="I577" s="86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1"/>
    </row>
    <row r="578" spans="1:14" s="3" customFormat="1" ht="12" customHeight="1" x14ac:dyDescent="0.15">
      <c r="A578" s="98" t="s">
        <v>678</v>
      </c>
      <c r="B578" s="74">
        <v>22</v>
      </c>
      <c r="C578" s="74">
        <v>17</v>
      </c>
      <c r="D578" s="2" t="s">
        <v>433</v>
      </c>
      <c r="E578" s="74">
        <v>564</v>
      </c>
      <c r="F578" s="18"/>
      <c r="G578" s="18"/>
      <c r="H578" s="18"/>
      <c r="I578" s="86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1"/>
    </row>
    <row r="579" spans="1:14" s="3" customFormat="1" ht="12" customHeight="1" x14ac:dyDescent="0.15">
      <c r="A579" s="98" t="s">
        <v>675</v>
      </c>
      <c r="B579" s="74">
        <v>22</v>
      </c>
      <c r="C579" s="74">
        <v>18</v>
      </c>
      <c r="D579" s="2" t="s">
        <v>433</v>
      </c>
      <c r="E579" s="74">
        <v>561</v>
      </c>
      <c r="F579" s="18"/>
      <c r="G579" s="18"/>
      <c r="H579" s="18">
        <v>102833.25</v>
      </c>
      <c r="I579" s="86">
        <f t="shared" si="47"/>
        <v>102833.25</v>
      </c>
      <c r="J579" s="24" t="s">
        <v>289</v>
      </c>
      <c r="K579" s="24" t="s">
        <v>289</v>
      </c>
      <c r="L579" s="24" t="s">
        <v>289</v>
      </c>
      <c r="M579" s="8"/>
      <c r="N579" s="271"/>
    </row>
    <row r="580" spans="1:14" s="3" customFormat="1" ht="12" customHeight="1" x14ac:dyDescent="0.15">
      <c r="A580" s="98" t="s">
        <v>676</v>
      </c>
      <c r="B580" s="74">
        <v>22</v>
      </c>
      <c r="C580" s="74">
        <v>19</v>
      </c>
      <c r="D580" s="2" t="s">
        <v>433</v>
      </c>
      <c r="E580" s="74">
        <v>562</v>
      </c>
      <c r="F580" s="18"/>
      <c r="G580" s="18"/>
      <c r="H580" s="18"/>
      <c r="I580" s="86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1"/>
    </row>
    <row r="581" spans="1:14" s="3" customFormat="1" ht="12" customHeight="1" x14ac:dyDescent="0.15">
      <c r="A581" s="145" t="s">
        <v>745</v>
      </c>
      <c r="B581" s="74">
        <v>22</v>
      </c>
      <c r="C581" s="74">
        <v>20</v>
      </c>
      <c r="D581" s="2" t="s">
        <v>433</v>
      </c>
      <c r="E581" s="74">
        <v>563</v>
      </c>
      <c r="F581" s="24" t="s">
        <v>289</v>
      </c>
      <c r="G581" s="24" t="s">
        <v>289</v>
      </c>
      <c r="H581" s="18"/>
      <c r="I581" s="86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1"/>
    </row>
    <row r="582" spans="1:14" s="3" customFormat="1" ht="12" customHeight="1" x14ac:dyDescent="0.15">
      <c r="A582" s="145" t="s">
        <v>677</v>
      </c>
      <c r="B582" s="74">
        <v>22</v>
      </c>
      <c r="C582" s="74">
        <v>21</v>
      </c>
      <c r="D582" s="2" t="s">
        <v>433</v>
      </c>
      <c r="E582" s="74">
        <v>564</v>
      </c>
      <c r="F582" s="18"/>
      <c r="G582" s="18">
        <v>546377.43000000005</v>
      </c>
      <c r="H582" s="18">
        <v>894368.53</v>
      </c>
      <c r="I582" s="86">
        <f t="shared" si="47"/>
        <v>1440745.96</v>
      </c>
      <c r="J582" s="24" t="s">
        <v>289</v>
      </c>
      <c r="K582" s="24" t="s">
        <v>289</v>
      </c>
      <c r="L582" s="24" t="s">
        <v>289</v>
      </c>
      <c r="M582" s="8"/>
      <c r="N582" s="271"/>
    </row>
    <row r="583" spans="1:14" s="3" customFormat="1" ht="12" customHeight="1" x14ac:dyDescent="0.15">
      <c r="A583" s="145" t="s">
        <v>640</v>
      </c>
      <c r="B583" s="74">
        <v>22</v>
      </c>
      <c r="C583" s="74">
        <v>22</v>
      </c>
      <c r="D583" s="2" t="s">
        <v>433</v>
      </c>
      <c r="E583" s="74">
        <v>569</v>
      </c>
      <c r="F583" s="18"/>
      <c r="G583" s="18"/>
      <c r="H583" s="18">
        <v>229972.1</v>
      </c>
      <c r="I583" s="86">
        <f t="shared" si="47"/>
        <v>229972.1</v>
      </c>
      <c r="J583" s="24" t="s">
        <v>289</v>
      </c>
      <c r="K583" s="24" t="s">
        <v>289</v>
      </c>
      <c r="L583" s="24" t="s">
        <v>289</v>
      </c>
      <c r="M583" s="8"/>
      <c r="N583" s="271"/>
    </row>
    <row r="584" spans="1:14" s="3" customFormat="1" ht="12" customHeight="1" x14ac:dyDescent="0.15">
      <c r="A584" s="22" t="s">
        <v>679</v>
      </c>
      <c r="B584" s="74">
        <v>22</v>
      </c>
      <c r="C584" s="74">
        <v>23</v>
      </c>
      <c r="D584" s="2" t="s">
        <v>433</v>
      </c>
      <c r="E584" s="74">
        <v>561</v>
      </c>
      <c r="F584" s="18"/>
      <c r="G584" s="18"/>
      <c r="H584" s="18"/>
      <c r="I584" s="86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1"/>
    </row>
    <row r="585" spans="1:14" s="3" customFormat="1" ht="12" customHeight="1" x14ac:dyDescent="0.15">
      <c r="A585" s="22" t="s">
        <v>680</v>
      </c>
      <c r="B585" s="74">
        <v>22</v>
      </c>
      <c r="C585" s="74">
        <v>24</v>
      </c>
      <c r="D585" s="2" t="s">
        <v>433</v>
      </c>
      <c r="E585" s="74">
        <v>562</v>
      </c>
      <c r="F585" s="18"/>
      <c r="G585" s="18"/>
      <c r="H585" s="18"/>
      <c r="I585" s="86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1"/>
    </row>
    <row r="586" spans="1:14" s="3" customFormat="1" ht="12" customHeight="1" x14ac:dyDescent="0.15">
      <c r="A586" s="22" t="s">
        <v>746</v>
      </c>
      <c r="B586" s="74">
        <v>22</v>
      </c>
      <c r="C586" s="74">
        <v>25</v>
      </c>
      <c r="D586" s="2" t="s">
        <v>433</v>
      </c>
      <c r="E586" s="74">
        <v>563</v>
      </c>
      <c r="F586" s="24" t="s">
        <v>289</v>
      </c>
      <c r="G586" s="24" t="s">
        <v>289</v>
      </c>
      <c r="H586" s="18">
        <v>14186.88</v>
      </c>
      <c r="I586" s="86">
        <f t="shared" si="47"/>
        <v>14186.88</v>
      </c>
      <c r="J586" s="24" t="s">
        <v>289</v>
      </c>
      <c r="K586" s="24" t="s">
        <v>289</v>
      </c>
      <c r="L586" s="24" t="s">
        <v>289</v>
      </c>
      <c r="M586" s="8"/>
      <c r="N586" s="271"/>
    </row>
    <row r="587" spans="1:14" s="3" customFormat="1" ht="12" customHeight="1" x14ac:dyDescent="0.15">
      <c r="A587" s="22" t="s">
        <v>681</v>
      </c>
      <c r="B587" s="74">
        <v>22</v>
      </c>
      <c r="C587" s="74">
        <v>26</v>
      </c>
      <c r="D587" s="2" t="s">
        <v>433</v>
      </c>
      <c r="E587" s="74">
        <v>564</v>
      </c>
      <c r="F587" s="18"/>
      <c r="G587" s="18"/>
      <c r="H587" s="18"/>
      <c r="I587" s="86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1"/>
    </row>
    <row r="588" spans="1:14" s="3" customFormat="1" ht="12" customHeight="1" x14ac:dyDescent="0.15">
      <c r="A588" s="172" t="s">
        <v>747</v>
      </c>
      <c r="B588" s="104"/>
      <c r="C588" s="104"/>
      <c r="D588" s="104"/>
      <c r="E588" s="104"/>
      <c r="F588" s="102"/>
      <c r="G588" s="102"/>
      <c r="H588" s="102"/>
      <c r="I588" s="102"/>
      <c r="J588" s="102"/>
      <c r="K588" s="102"/>
      <c r="L588" s="102"/>
      <c r="M588" s="8"/>
      <c r="N588" s="271"/>
    </row>
    <row r="589" spans="1:14" s="3" customFormat="1" ht="12" customHeight="1" x14ac:dyDescent="0.15">
      <c r="A589" s="146" t="s">
        <v>658</v>
      </c>
      <c r="B589" s="104"/>
      <c r="C589" s="104"/>
      <c r="D589" s="104"/>
      <c r="E589" s="104"/>
      <c r="F589" s="102"/>
      <c r="G589" s="102"/>
      <c r="H589" s="102"/>
      <c r="I589" s="102"/>
      <c r="J589" s="102"/>
      <c r="K589" s="102"/>
      <c r="L589" s="102"/>
      <c r="M589" s="8"/>
      <c r="N589" s="271"/>
    </row>
    <row r="590" spans="1:14" s="3" customFormat="1" ht="12" customHeight="1" x14ac:dyDescent="0.15">
      <c r="A590" s="95" t="s">
        <v>89</v>
      </c>
      <c r="B590" s="104"/>
      <c r="C590" s="104"/>
      <c r="D590" s="104"/>
      <c r="E590" s="104"/>
      <c r="F590" s="102" t="s">
        <v>94</v>
      </c>
      <c r="G590" s="102" t="s">
        <v>95</v>
      </c>
      <c r="H590" s="102" t="s">
        <v>61</v>
      </c>
      <c r="I590" s="102" t="s">
        <v>96</v>
      </c>
      <c r="J590" s="102" t="s">
        <v>62</v>
      </c>
      <c r="K590" s="102" t="s">
        <v>5</v>
      </c>
      <c r="L590" s="102"/>
      <c r="M590" s="8"/>
      <c r="N590" s="271"/>
    </row>
    <row r="591" spans="1:14" s="3" customFormat="1" ht="12" customHeight="1" x14ac:dyDescent="0.15">
      <c r="A591" s="3" t="s">
        <v>641</v>
      </c>
      <c r="B591" s="74">
        <v>23</v>
      </c>
      <c r="C591" s="74">
        <v>1</v>
      </c>
      <c r="D591" s="2" t="s">
        <v>433</v>
      </c>
      <c r="E591" s="74"/>
      <c r="F591" s="101">
        <v>2721</v>
      </c>
      <c r="G591" s="102" t="s">
        <v>97</v>
      </c>
      <c r="H591" s="18">
        <v>757361.92</v>
      </c>
      <c r="I591" s="18">
        <v>452592.19</v>
      </c>
      <c r="J591" s="18">
        <v>615014.38</v>
      </c>
      <c r="K591" s="103">
        <f t="shared" ref="K591:K597" si="48">SUM(H591:J591)</f>
        <v>1824968.4900000002</v>
      </c>
      <c r="L591" s="24" t="s">
        <v>289</v>
      </c>
      <c r="M591" s="8"/>
      <c r="N591" s="271"/>
    </row>
    <row r="592" spans="1:14" s="3" customFormat="1" ht="12" customHeight="1" x14ac:dyDescent="0.15">
      <c r="A592" s="3" t="s">
        <v>642</v>
      </c>
      <c r="B592" s="74">
        <v>23</v>
      </c>
      <c r="C592" s="74">
        <v>2</v>
      </c>
      <c r="D592" s="2" t="s">
        <v>433</v>
      </c>
      <c r="E592" s="74"/>
      <c r="F592" s="101">
        <v>2722</v>
      </c>
      <c r="G592" s="102" t="s">
        <v>97</v>
      </c>
      <c r="H592" s="18">
        <v>372018.24</v>
      </c>
      <c r="I592" s="18">
        <v>222314.52</v>
      </c>
      <c r="J592" s="18">
        <v>302096.74</v>
      </c>
      <c r="K592" s="103">
        <f t="shared" si="48"/>
        <v>896429.5</v>
      </c>
      <c r="L592" s="24" t="s">
        <v>289</v>
      </c>
      <c r="M592" s="8"/>
      <c r="N592" s="271"/>
    </row>
    <row r="593" spans="1:14" s="3" customFormat="1" ht="12" customHeight="1" x14ac:dyDescent="0.15">
      <c r="A593" s="3" t="s">
        <v>643</v>
      </c>
      <c r="B593" s="74">
        <v>23</v>
      </c>
      <c r="C593" s="74">
        <v>3</v>
      </c>
      <c r="D593" s="2" t="s">
        <v>433</v>
      </c>
      <c r="E593" s="74"/>
      <c r="F593" s="101">
        <v>2723</v>
      </c>
      <c r="G593" s="102" t="s">
        <v>97</v>
      </c>
      <c r="H593" s="18"/>
      <c r="I593" s="18"/>
      <c r="J593" s="18">
        <v>11942.52</v>
      </c>
      <c r="K593" s="103">
        <f t="shared" si="48"/>
        <v>11942.52</v>
      </c>
      <c r="L593" s="24" t="s">
        <v>289</v>
      </c>
      <c r="M593" s="8"/>
      <c r="N593" s="271"/>
    </row>
    <row r="594" spans="1:14" s="3" customFormat="1" ht="12" customHeight="1" x14ac:dyDescent="0.15">
      <c r="A594" s="22" t="s">
        <v>644</v>
      </c>
      <c r="B594" s="74">
        <v>23</v>
      </c>
      <c r="C594" s="74">
        <v>4</v>
      </c>
      <c r="D594" s="2" t="s">
        <v>433</v>
      </c>
      <c r="E594" s="74"/>
      <c r="F594" s="101">
        <v>2724</v>
      </c>
      <c r="G594" s="102" t="s">
        <v>97</v>
      </c>
      <c r="H594" s="18"/>
      <c r="I594" s="18">
        <v>8699.57</v>
      </c>
      <c r="J594" s="18">
        <v>52494.75</v>
      </c>
      <c r="K594" s="103">
        <f t="shared" si="48"/>
        <v>61194.32</v>
      </c>
      <c r="L594" s="24" t="s">
        <v>289</v>
      </c>
      <c r="M594" s="8"/>
      <c r="N594" s="271"/>
    </row>
    <row r="595" spans="1:14" s="3" customFormat="1" ht="12" customHeight="1" x14ac:dyDescent="0.15">
      <c r="A595" s="170" t="s">
        <v>656</v>
      </c>
      <c r="B595" s="74">
        <v>23</v>
      </c>
      <c r="C595" s="74">
        <v>5</v>
      </c>
      <c r="D595" s="2" t="s">
        <v>433</v>
      </c>
      <c r="E595" s="74"/>
      <c r="F595" s="101">
        <v>2725</v>
      </c>
      <c r="G595" s="102" t="s">
        <v>97</v>
      </c>
      <c r="H595" s="18"/>
      <c r="I595" s="18">
        <v>1755</v>
      </c>
      <c r="J595" s="18">
        <v>21655</v>
      </c>
      <c r="K595" s="103">
        <f t="shared" si="48"/>
        <v>23410</v>
      </c>
      <c r="L595" s="24" t="s">
        <v>289</v>
      </c>
      <c r="M595" s="8"/>
      <c r="N595" s="271"/>
    </row>
    <row r="596" spans="1:14" s="3" customFormat="1" ht="12" customHeight="1" x14ac:dyDescent="0.15">
      <c r="A596" s="22" t="s">
        <v>645</v>
      </c>
      <c r="B596" s="74">
        <v>23</v>
      </c>
      <c r="C596" s="74">
        <v>6</v>
      </c>
      <c r="D596" s="2" t="s">
        <v>433</v>
      </c>
      <c r="E596" s="74"/>
      <c r="F596" s="101">
        <v>2726</v>
      </c>
      <c r="G596" s="102" t="s">
        <v>97</v>
      </c>
      <c r="H596" s="18"/>
      <c r="I596" s="18"/>
      <c r="J596" s="18"/>
      <c r="K596" s="103">
        <f t="shared" si="48"/>
        <v>0</v>
      </c>
      <c r="L596" s="24" t="s">
        <v>289</v>
      </c>
      <c r="M596" s="8"/>
      <c r="N596" s="271"/>
    </row>
    <row r="597" spans="1:14" s="3" customFormat="1" ht="12" customHeight="1" thickBot="1" x14ac:dyDescent="0.2">
      <c r="A597" s="3" t="s">
        <v>659</v>
      </c>
      <c r="B597" s="74">
        <v>23</v>
      </c>
      <c r="C597" s="74">
        <v>7</v>
      </c>
      <c r="D597" s="2" t="s">
        <v>433</v>
      </c>
      <c r="E597" s="74"/>
      <c r="F597" s="101">
        <v>2729</v>
      </c>
      <c r="G597" s="102" t="s">
        <v>97</v>
      </c>
      <c r="H597" s="18"/>
      <c r="I597" s="18"/>
      <c r="J597" s="18"/>
      <c r="K597" s="103">
        <f t="shared" si="48"/>
        <v>0</v>
      </c>
      <c r="L597" s="24" t="s">
        <v>289</v>
      </c>
      <c r="M597" s="8"/>
      <c r="N597" s="271"/>
    </row>
    <row r="598" spans="1:14" s="3" customFormat="1" ht="12" customHeight="1" thickTop="1" x14ac:dyDescent="0.15">
      <c r="A598" s="97" t="s">
        <v>341</v>
      </c>
      <c r="B598" s="44">
        <v>23</v>
      </c>
      <c r="C598" s="44">
        <v>8</v>
      </c>
      <c r="D598" s="39" t="s">
        <v>433</v>
      </c>
      <c r="E598" s="44"/>
      <c r="F598" s="147">
        <v>2700</v>
      </c>
      <c r="G598" s="148" t="s">
        <v>97</v>
      </c>
      <c r="H598" s="107">
        <f>SUM(H591:H597)</f>
        <v>1129380.1600000001</v>
      </c>
      <c r="I598" s="107">
        <f>SUM(I591:I597)</f>
        <v>685361.27999999991</v>
      </c>
      <c r="J598" s="107">
        <f>SUM(J591:J597)</f>
        <v>1003203.39</v>
      </c>
      <c r="K598" s="107">
        <f>SUM(K591:K597)</f>
        <v>2817944.83</v>
      </c>
      <c r="L598" s="24" t="s">
        <v>289</v>
      </c>
      <c r="M598" s="8"/>
      <c r="N598" s="271"/>
    </row>
    <row r="599" spans="1:14" s="3" customFormat="1" ht="12" customHeight="1" x14ac:dyDescent="0.15">
      <c r="A599" s="22"/>
      <c r="B599" s="104"/>
      <c r="C599" s="104"/>
      <c r="D599" s="104"/>
      <c r="E599" s="104"/>
      <c r="F599" s="102"/>
      <c r="G599" s="102"/>
      <c r="H599" s="102"/>
      <c r="I599" s="102"/>
      <c r="J599" s="102"/>
      <c r="K599" s="102"/>
      <c r="L599" s="102"/>
      <c r="M599" s="8"/>
      <c r="N599" s="271"/>
    </row>
    <row r="600" spans="1:14" s="3" customFormat="1" ht="12" customHeight="1" x14ac:dyDescent="0.15">
      <c r="A600" s="95" t="s">
        <v>98</v>
      </c>
      <c r="B600" s="104"/>
      <c r="C600" s="104"/>
      <c r="D600" s="104"/>
      <c r="E600" s="104"/>
      <c r="F600" s="102"/>
      <c r="G600" s="102"/>
      <c r="H600" s="102"/>
      <c r="I600" s="102"/>
      <c r="J600" s="102"/>
      <c r="K600" s="102"/>
      <c r="L600" s="102"/>
      <c r="M600" s="8"/>
      <c r="N600" s="271"/>
    </row>
    <row r="601" spans="1:14" s="3" customFormat="1" ht="12" customHeight="1" x14ac:dyDescent="0.15">
      <c r="A601" s="95" t="s">
        <v>89</v>
      </c>
      <c r="B601" s="104"/>
      <c r="C601" s="104"/>
      <c r="D601" s="104"/>
      <c r="E601" s="104"/>
      <c r="F601" s="102" t="s">
        <v>94</v>
      </c>
      <c r="G601" s="102" t="s">
        <v>95</v>
      </c>
      <c r="H601" s="102" t="s">
        <v>61</v>
      </c>
      <c r="I601" s="102" t="s">
        <v>96</v>
      </c>
      <c r="J601" s="102" t="s">
        <v>62</v>
      </c>
      <c r="K601" s="102" t="s">
        <v>5</v>
      </c>
      <c r="L601" s="102"/>
      <c r="M601" s="8"/>
      <c r="N601" s="271"/>
    </row>
    <row r="602" spans="1:14" s="3" customFormat="1" ht="12" customHeight="1" x14ac:dyDescent="0.15">
      <c r="A602" s="22" t="s">
        <v>646</v>
      </c>
      <c r="B602" s="104">
        <v>23</v>
      </c>
      <c r="C602" s="104">
        <v>9</v>
      </c>
      <c r="D602" s="2" t="s">
        <v>433</v>
      </c>
      <c r="E602" s="104"/>
      <c r="F602" s="102" t="s">
        <v>477</v>
      </c>
      <c r="G602" s="101">
        <v>710</v>
      </c>
      <c r="H602" s="18"/>
      <c r="I602" s="18"/>
      <c r="J602" s="18"/>
      <c r="K602" s="103">
        <f>SUM(H602:J602)</f>
        <v>0</v>
      </c>
      <c r="L602" s="24" t="s">
        <v>289</v>
      </c>
      <c r="M602" s="8"/>
      <c r="N602" s="271"/>
    </row>
    <row r="603" spans="1:14" s="3" customFormat="1" ht="12" customHeight="1" x14ac:dyDescent="0.15">
      <c r="A603" s="22" t="s">
        <v>647</v>
      </c>
      <c r="B603" s="104">
        <v>23</v>
      </c>
      <c r="C603" s="104">
        <v>10</v>
      </c>
      <c r="D603" s="2" t="s">
        <v>433</v>
      </c>
      <c r="E603" s="104"/>
      <c r="F603" s="102" t="s">
        <v>477</v>
      </c>
      <c r="G603" s="101">
        <v>720</v>
      </c>
      <c r="H603" s="18"/>
      <c r="I603" s="18"/>
      <c r="J603" s="18"/>
      <c r="K603" s="103">
        <f>SUM(H603:J603)</f>
        <v>0</v>
      </c>
      <c r="L603" s="24" t="s">
        <v>289</v>
      </c>
      <c r="M603" s="8"/>
      <c r="N603" s="271"/>
    </row>
    <row r="604" spans="1:14" s="3" customFormat="1" ht="12" customHeight="1" thickBot="1" x14ac:dyDescent="0.2">
      <c r="A604" s="22" t="s">
        <v>648</v>
      </c>
      <c r="B604" s="104">
        <v>23</v>
      </c>
      <c r="C604" s="104">
        <v>11</v>
      </c>
      <c r="D604" s="2" t="s">
        <v>433</v>
      </c>
      <c r="E604" s="104"/>
      <c r="F604" s="102" t="s">
        <v>477</v>
      </c>
      <c r="G604" s="101">
        <v>730</v>
      </c>
      <c r="H604" s="18">
        <v>189679.75</v>
      </c>
      <c r="I604" s="18">
        <v>109000.73</v>
      </c>
      <c r="J604" s="18">
        <v>274594.48</v>
      </c>
      <c r="K604" s="103">
        <f>SUM(H604:J604)</f>
        <v>573274.96</v>
      </c>
      <c r="L604" s="24" t="s">
        <v>289</v>
      </c>
      <c r="M604" s="8"/>
      <c r="N604" s="271"/>
    </row>
    <row r="605" spans="1:14" s="3" customFormat="1" ht="12" customHeight="1" thickTop="1" x14ac:dyDescent="0.15">
      <c r="A605" s="97" t="s">
        <v>341</v>
      </c>
      <c r="B605" s="44">
        <v>23</v>
      </c>
      <c r="C605" s="44">
        <v>12</v>
      </c>
      <c r="D605" s="39" t="s">
        <v>433</v>
      </c>
      <c r="E605" s="44"/>
      <c r="F605" s="148" t="s">
        <v>477</v>
      </c>
      <c r="G605" s="147">
        <v>700</v>
      </c>
      <c r="H605" s="107">
        <f>SUM(H602:H604)</f>
        <v>189679.75</v>
      </c>
      <c r="I605" s="107">
        <f>SUM(I602:I604)</f>
        <v>109000.73</v>
      </c>
      <c r="J605" s="107">
        <f>SUM(J602:J604)</f>
        <v>274594.48</v>
      </c>
      <c r="K605" s="107">
        <f>SUM(K602:K604)</f>
        <v>573274.96</v>
      </c>
      <c r="L605" s="24" t="s">
        <v>289</v>
      </c>
      <c r="M605" s="8"/>
      <c r="N605" s="271"/>
    </row>
    <row r="606" spans="1:14" s="3" customFormat="1" ht="12" customHeight="1" x14ac:dyDescent="0.15">
      <c r="A606" s="22"/>
      <c r="B606" s="104"/>
      <c r="C606" s="104"/>
      <c r="D606" s="104"/>
      <c r="E606" s="104"/>
      <c r="F606" s="102"/>
      <c r="G606" s="102"/>
      <c r="H606" s="102"/>
      <c r="I606" s="102"/>
      <c r="J606" s="102"/>
      <c r="K606" s="102"/>
      <c r="L606" s="87"/>
      <c r="M606" s="8"/>
      <c r="N606" s="271"/>
    </row>
    <row r="607" spans="1:14" s="3" customFormat="1" ht="12" customHeight="1" x14ac:dyDescent="0.15">
      <c r="A607" s="95"/>
      <c r="B607" s="104"/>
      <c r="C607" s="104"/>
      <c r="D607" s="104"/>
      <c r="E607" s="104"/>
      <c r="F607" s="102"/>
      <c r="G607" s="102"/>
      <c r="H607" s="102"/>
      <c r="I607" s="102"/>
      <c r="J607" s="102"/>
      <c r="K607" s="102"/>
      <c r="L607" s="87"/>
      <c r="M607" s="8"/>
      <c r="N607" s="271"/>
    </row>
    <row r="608" spans="1:14" s="3" customFormat="1" ht="12" customHeight="1" x14ac:dyDescent="0.15">
      <c r="A608" s="95" t="s">
        <v>584</v>
      </c>
      <c r="B608" s="104"/>
      <c r="C608" s="104"/>
      <c r="D608" s="104"/>
      <c r="E608" s="104"/>
      <c r="F608" s="102"/>
      <c r="G608" s="102"/>
      <c r="H608" s="102"/>
      <c r="I608" s="102"/>
      <c r="J608" s="102"/>
      <c r="K608" s="102"/>
      <c r="L608" s="87"/>
      <c r="M608" s="8"/>
      <c r="N608" s="271"/>
    </row>
    <row r="609" spans="1:14" s="3" customFormat="1" ht="12" customHeight="1" x14ac:dyDescent="0.15">
      <c r="B609" s="104"/>
      <c r="C609" s="104"/>
      <c r="D609" s="104"/>
      <c r="E609" s="104"/>
      <c r="F609" s="176" t="s">
        <v>693</v>
      </c>
      <c r="G609" s="176" t="s">
        <v>694</v>
      </c>
      <c r="H609" s="176" t="s">
        <v>695</v>
      </c>
      <c r="I609" s="176" t="s">
        <v>696</v>
      </c>
      <c r="J609" s="176" t="s">
        <v>697</v>
      </c>
      <c r="K609" s="176" t="s">
        <v>698</v>
      </c>
      <c r="L609" s="87"/>
      <c r="M609" s="8"/>
      <c r="N609" s="271"/>
    </row>
    <row r="610" spans="1:14" s="3" customFormat="1" ht="12" customHeight="1" x14ac:dyDescent="0.15">
      <c r="A610" s="95" t="s">
        <v>89</v>
      </c>
      <c r="B610" s="104"/>
      <c r="C610" s="104"/>
      <c r="D610" s="104"/>
      <c r="E610" s="104"/>
      <c r="F610" s="102" t="s">
        <v>54</v>
      </c>
      <c r="G610" s="102" t="s">
        <v>55</v>
      </c>
      <c r="H610" s="102" t="s">
        <v>56</v>
      </c>
      <c r="I610" s="102" t="s">
        <v>57</v>
      </c>
      <c r="J610" s="102" t="s">
        <v>58</v>
      </c>
      <c r="K610" s="102" t="s">
        <v>59</v>
      </c>
      <c r="L610" s="105" t="s">
        <v>5</v>
      </c>
      <c r="M610" s="8"/>
      <c r="N610" s="271"/>
    </row>
    <row r="611" spans="1:14" s="3" customFormat="1" ht="12" customHeight="1" x14ac:dyDescent="0.15">
      <c r="A611" s="22" t="s">
        <v>637</v>
      </c>
      <c r="B611" s="74">
        <v>23</v>
      </c>
      <c r="C611" s="74">
        <v>13</v>
      </c>
      <c r="D611" s="2" t="s">
        <v>433</v>
      </c>
      <c r="E611" s="74"/>
      <c r="F611" s="18">
        <v>14366.1</v>
      </c>
      <c r="G611" s="18">
        <v>3350.17</v>
      </c>
      <c r="H611" s="18"/>
      <c r="I611" s="18">
        <v>991.91</v>
      </c>
      <c r="J611" s="18"/>
      <c r="K611" s="18"/>
      <c r="L611" s="87">
        <f>SUM(F611:K611)</f>
        <v>18708.18</v>
      </c>
      <c r="M611" s="8"/>
      <c r="N611" s="271"/>
    </row>
    <row r="612" spans="1:14" s="3" customFormat="1" ht="12" customHeight="1" x14ac:dyDescent="0.15">
      <c r="A612" s="22" t="s">
        <v>638</v>
      </c>
      <c r="B612" s="74">
        <v>23</v>
      </c>
      <c r="C612" s="74">
        <v>14</v>
      </c>
      <c r="D612" s="2" t="s">
        <v>433</v>
      </c>
      <c r="E612" s="74"/>
      <c r="F612" s="18">
        <v>8885.0400000000009</v>
      </c>
      <c r="G612" s="18">
        <v>2048.48</v>
      </c>
      <c r="H612" s="18"/>
      <c r="I612" s="18">
        <v>592.76</v>
      </c>
      <c r="J612" s="18"/>
      <c r="K612" s="18"/>
      <c r="L612" s="87">
        <f>SUM(F612:K612)</f>
        <v>11526.28</v>
      </c>
      <c r="M612" s="8"/>
      <c r="N612" s="271"/>
    </row>
    <row r="613" spans="1:14" s="3" customFormat="1" ht="12" customHeight="1" thickBot="1" x14ac:dyDescent="0.2">
      <c r="A613" s="22" t="s">
        <v>649</v>
      </c>
      <c r="B613" s="74">
        <v>23</v>
      </c>
      <c r="C613" s="74">
        <v>15</v>
      </c>
      <c r="D613" s="2" t="s">
        <v>433</v>
      </c>
      <c r="E613" s="74"/>
      <c r="F613" s="18">
        <v>11665.96</v>
      </c>
      <c r="G613" s="18">
        <v>2720.5</v>
      </c>
      <c r="H613" s="18"/>
      <c r="I613" s="18">
        <v>805.48</v>
      </c>
      <c r="J613" s="18"/>
      <c r="K613" s="18"/>
      <c r="L613" s="87">
        <f>SUM(F613:K613)</f>
        <v>15191.939999999999</v>
      </c>
      <c r="M613" s="8"/>
      <c r="N613" s="271"/>
    </row>
    <row r="614" spans="1:14" s="3" customFormat="1" ht="12" customHeight="1" thickTop="1" x14ac:dyDescent="0.15">
      <c r="A614" s="97" t="s">
        <v>341</v>
      </c>
      <c r="B614" s="106">
        <v>23</v>
      </c>
      <c r="C614" s="106">
        <v>16</v>
      </c>
      <c r="D614" s="39" t="s">
        <v>433</v>
      </c>
      <c r="E614" s="106"/>
      <c r="F614" s="107">
        <f t="shared" ref="F614:L614" si="49">SUM(F611:F613)</f>
        <v>34917.1</v>
      </c>
      <c r="G614" s="107">
        <f t="shared" si="49"/>
        <v>8119.15</v>
      </c>
      <c r="H614" s="107">
        <f t="shared" si="49"/>
        <v>0</v>
      </c>
      <c r="I614" s="107">
        <f t="shared" si="49"/>
        <v>2390.15</v>
      </c>
      <c r="J614" s="107">
        <f t="shared" si="49"/>
        <v>0</v>
      </c>
      <c r="K614" s="107">
        <f t="shared" si="49"/>
        <v>0</v>
      </c>
      <c r="L614" s="88">
        <f t="shared" si="49"/>
        <v>45426.399999999994</v>
      </c>
      <c r="M614" s="8"/>
      <c r="N614" s="271"/>
    </row>
    <row r="615" spans="1:14" s="3" customFormat="1" ht="12" customHeight="1" x14ac:dyDescent="0.15">
      <c r="A615" s="96"/>
      <c r="B615" s="104"/>
      <c r="C615" s="104"/>
      <c r="D615" s="104"/>
      <c r="E615" s="104"/>
      <c r="F615" s="108"/>
      <c r="G615" s="108"/>
      <c r="H615" s="108"/>
      <c r="I615" s="108"/>
      <c r="J615" s="108"/>
      <c r="K615" s="108"/>
      <c r="L615" s="108"/>
      <c r="M615" s="8"/>
    </row>
    <row r="616" spans="1:14" s="3" customFormat="1" ht="12" customHeight="1" x14ac:dyDescent="0.15">
      <c r="A616" s="96"/>
      <c r="B616" s="104"/>
      <c r="C616" s="104"/>
      <c r="D616" s="104"/>
      <c r="E616" s="104"/>
      <c r="F616" s="149" t="s">
        <v>53</v>
      </c>
      <c r="G616" s="150"/>
      <c r="H616" s="150"/>
      <c r="I616" s="149" t="s">
        <v>53</v>
      </c>
      <c r="J616" s="108"/>
      <c r="K616" s="108"/>
      <c r="L616" s="108"/>
      <c r="M616" s="8"/>
    </row>
    <row r="617" spans="1:14" s="3" customFormat="1" ht="12" customHeight="1" x14ac:dyDescent="0.15">
      <c r="A617" s="96" t="s">
        <v>99</v>
      </c>
      <c r="B617" s="104"/>
      <c r="C617" s="104"/>
      <c r="D617" s="104"/>
      <c r="E617" s="104"/>
      <c r="F617" s="120" t="s">
        <v>687</v>
      </c>
      <c r="G617" s="108">
        <f>SUM(F19)</f>
        <v>2570859.86</v>
      </c>
      <c r="H617" s="108">
        <f>SUM(F52)</f>
        <v>2570859.8600000003</v>
      </c>
      <c r="I617" s="120" t="s">
        <v>891</v>
      </c>
      <c r="J617" s="108">
        <f>G617-H617</f>
        <v>0</v>
      </c>
      <c r="K617" s="108"/>
      <c r="L617" s="108"/>
      <c r="M617" s="8"/>
    </row>
    <row r="618" spans="1:14" s="3" customFormat="1" ht="12" customHeight="1" x14ac:dyDescent="0.15">
      <c r="A618" s="96" t="s">
        <v>100</v>
      </c>
      <c r="B618" s="104"/>
      <c r="C618" s="104"/>
      <c r="D618" s="104"/>
      <c r="E618" s="104"/>
      <c r="F618" s="120" t="s">
        <v>688</v>
      </c>
      <c r="G618" s="108">
        <f>SUM(G19)</f>
        <v>78022.52</v>
      </c>
      <c r="H618" s="108">
        <f>SUM(G52)</f>
        <v>78022.51999999999</v>
      </c>
      <c r="I618" s="120" t="s">
        <v>892</v>
      </c>
      <c r="J618" s="108">
        <f>G618-H618</f>
        <v>0</v>
      </c>
      <c r="K618" s="108"/>
      <c r="L618" s="108"/>
      <c r="M618" s="8"/>
    </row>
    <row r="619" spans="1:14" s="3" customFormat="1" ht="12" customHeight="1" x14ac:dyDescent="0.15">
      <c r="A619" s="96"/>
      <c r="B619" s="104"/>
      <c r="C619" s="104"/>
      <c r="D619" s="104"/>
      <c r="E619" s="104"/>
      <c r="F619" s="120" t="s">
        <v>689</v>
      </c>
      <c r="G619" s="108">
        <f>SUM(H19)</f>
        <v>502512.39</v>
      </c>
      <c r="H619" s="108">
        <f>SUM(H52)</f>
        <v>502512.39</v>
      </c>
      <c r="I619" s="120" t="s">
        <v>893</v>
      </c>
      <c r="J619" s="108">
        <f>G619-H619</f>
        <v>0</v>
      </c>
      <c r="K619" s="108"/>
      <c r="L619" s="108"/>
      <c r="M619" s="8"/>
    </row>
    <row r="620" spans="1:14" s="3" customFormat="1" ht="12" customHeight="1" x14ac:dyDescent="0.15">
      <c r="A620" s="96"/>
      <c r="B620" s="104"/>
      <c r="C620" s="104"/>
      <c r="D620" s="104"/>
      <c r="E620" s="104"/>
      <c r="F620" s="120" t="s">
        <v>690</v>
      </c>
      <c r="G620" s="108">
        <f>SUM(I19)</f>
        <v>23374537.199999999</v>
      </c>
      <c r="H620" s="108">
        <f>SUM(I52)</f>
        <v>23374537.199999999</v>
      </c>
      <c r="I620" s="120" t="s">
        <v>894</v>
      </c>
      <c r="J620" s="108">
        <f>G620-H620</f>
        <v>0</v>
      </c>
      <c r="K620" s="108"/>
      <c r="L620" s="108"/>
      <c r="M620" s="8"/>
    </row>
    <row r="621" spans="1:14" s="3" customFormat="1" ht="12" customHeight="1" x14ac:dyDescent="0.15">
      <c r="A621" s="96"/>
      <c r="B621" s="104"/>
      <c r="C621" s="104"/>
      <c r="D621" s="104"/>
      <c r="E621" s="104"/>
      <c r="F621" s="120" t="s">
        <v>691</v>
      </c>
      <c r="G621" s="108">
        <f>SUM(J19)</f>
        <v>185383.16</v>
      </c>
      <c r="H621" s="108">
        <f>SUM(J52)</f>
        <v>185383.16</v>
      </c>
      <c r="I621" s="120" t="s">
        <v>895</v>
      </c>
      <c r="J621" s="108">
        <f>G621-H621</f>
        <v>0</v>
      </c>
      <c r="K621" s="108"/>
      <c r="L621" s="108"/>
      <c r="M621" s="8"/>
    </row>
    <row r="622" spans="1:14" s="3" customFormat="1" ht="12" customHeight="1" x14ac:dyDescent="0.15">
      <c r="A622" s="96"/>
      <c r="B622" s="104"/>
      <c r="C622" s="104"/>
      <c r="D622" s="104"/>
      <c r="E622" s="104"/>
      <c r="F622" s="120" t="s">
        <v>881</v>
      </c>
      <c r="G622" s="108">
        <f>F51</f>
        <v>2345898.37</v>
      </c>
      <c r="H622" s="108">
        <f>F476</f>
        <v>2345898.3700000048</v>
      </c>
      <c r="I622" s="120" t="s">
        <v>101</v>
      </c>
      <c r="J622" s="108">
        <f t="shared" ref="J622:J655" si="50">G622-H622</f>
        <v>-4.6566128730773926E-9</v>
      </c>
      <c r="K622" s="108"/>
      <c r="L622" s="108"/>
      <c r="M622" s="8"/>
    </row>
    <row r="623" spans="1:14" s="3" customFormat="1" ht="12" customHeight="1" x14ac:dyDescent="0.15">
      <c r="A623" s="96"/>
      <c r="B623" s="104"/>
      <c r="C623" s="118"/>
      <c r="D623" s="118"/>
      <c r="E623" s="118"/>
      <c r="F623" s="118" t="s">
        <v>882</v>
      </c>
      <c r="G623" s="108">
        <f>G51</f>
        <v>73041.48</v>
      </c>
      <c r="H623" s="108">
        <f>G476</f>
        <v>73041.480000000214</v>
      </c>
      <c r="I623" s="120" t="s">
        <v>102</v>
      </c>
      <c r="J623" s="108">
        <f t="shared" si="50"/>
        <v>-2.1827872842550278E-10</v>
      </c>
      <c r="K623" s="108"/>
      <c r="L623" s="108"/>
      <c r="M623" s="8"/>
    </row>
    <row r="624" spans="1:14" s="3" customFormat="1" ht="12" customHeight="1" x14ac:dyDescent="0.15">
      <c r="A624" s="96"/>
      <c r="B624" s="104"/>
      <c r="C624" s="104"/>
      <c r="D624" s="104"/>
      <c r="E624" s="104"/>
      <c r="F624" s="119" t="s">
        <v>883</v>
      </c>
      <c r="G624" s="108">
        <f>H51</f>
        <v>195733.03</v>
      </c>
      <c r="H624" s="108">
        <f>H476</f>
        <v>195733.03000000003</v>
      </c>
      <c r="I624" s="120" t="s">
        <v>103</v>
      </c>
      <c r="J624" s="108">
        <f t="shared" si="50"/>
        <v>0</v>
      </c>
      <c r="K624" s="108"/>
      <c r="L624" s="108"/>
      <c r="M624" s="8"/>
    </row>
    <row r="625" spans="1:13" s="3" customFormat="1" ht="12" customHeight="1" x14ac:dyDescent="0.15">
      <c r="A625" s="96"/>
      <c r="B625" s="104"/>
      <c r="C625" s="104"/>
      <c r="D625" s="104"/>
      <c r="E625" s="104"/>
      <c r="F625" s="119" t="s">
        <v>884</v>
      </c>
      <c r="G625" s="108">
        <f>I51</f>
        <v>23374537.199999999</v>
      </c>
      <c r="H625" s="108">
        <f>I476</f>
        <v>23374537.199999996</v>
      </c>
      <c r="I625" s="120" t="s">
        <v>104</v>
      </c>
      <c r="J625" s="108">
        <f t="shared" si="50"/>
        <v>0</v>
      </c>
      <c r="K625" s="108"/>
      <c r="L625" s="108"/>
      <c r="M625" s="8"/>
    </row>
    <row r="626" spans="1:13" s="3" customFormat="1" ht="12" customHeight="1" x14ac:dyDescent="0.15">
      <c r="A626" s="22"/>
      <c r="B626" s="104"/>
      <c r="C626" s="104"/>
      <c r="D626" s="104"/>
      <c r="E626" s="104"/>
      <c r="F626" s="119" t="s">
        <v>885</v>
      </c>
      <c r="G626" s="108">
        <f>J51</f>
        <v>185383.16</v>
      </c>
      <c r="H626" s="108">
        <f>J476</f>
        <v>185383.16</v>
      </c>
      <c r="I626" s="139" t="s">
        <v>105</v>
      </c>
      <c r="J626" s="108">
        <f t="shared" si="50"/>
        <v>0</v>
      </c>
      <c r="K626" s="84"/>
      <c r="L626" s="87"/>
      <c r="M626" s="8"/>
    </row>
    <row r="627" spans="1:13" s="3" customFormat="1" ht="12" customHeight="1" x14ac:dyDescent="0.15">
      <c r="A627" s="22"/>
      <c r="B627" s="104"/>
      <c r="C627" s="104"/>
      <c r="D627" s="104"/>
      <c r="E627" s="104"/>
      <c r="F627" s="119" t="s">
        <v>662</v>
      </c>
      <c r="G627" s="108">
        <f>F193</f>
        <v>61152247.170000009</v>
      </c>
      <c r="H627" s="103">
        <f>SUM(F468)</f>
        <v>61152247.170000002</v>
      </c>
      <c r="I627" s="139" t="s">
        <v>106</v>
      </c>
      <c r="J627" s="108">
        <f>G627-H627</f>
        <v>0</v>
      </c>
      <c r="K627" s="84"/>
      <c r="L627" s="87"/>
      <c r="M627" s="8"/>
    </row>
    <row r="628" spans="1:13" s="3" customFormat="1" ht="12" customHeight="1" x14ac:dyDescent="0.15">
      <c r="A628" s="22"/>
      <c r="B628" s="104"/>
      <c r="C628" s="104"/>
      <c r="D628" s="104"/>
      <c r="E628" s="104"/>
      <c r="F628" s="119" t="s">
        <v>663</v>
      </c>
      <c r="G628" s="108">
        <f>G193</f>
        <v>1392846.7599999998</v>
      </c>
      <c r="H628" s="103">
        <f>SUM(G468)</f>
        <v>1392846.76</v>
      </c>
      <c r="I628" s="139" t="s">
        <v>107</v>
      </c>
      <c r="J628" s="108">
        <f>G628-H628</f>
        <v>0</v>
      </c>
      <c r="K628" s="84"/>
      <c r="L628" s="87"/>
      <c r="M628" s="8"/>
    </row>
    <row r="629" spans="1:13" s="3" customFormat="1" ht="12" customHeight="1" x14ac:dyDescent="0.15">
      <c r="A629" s="22"/>
      <c r="B629" s="104"/>
      <c r="C629" s="104"/>
      <c r="D629" s="104"/>
      <c r="E629" s="104"/>
      <c r="F629" s="119" t="s">
        <v>664</v>
      </c>
      <c r="G629" s="108">
        <f>H193</f>
        <v>1843456.1500000001</v>
      </c>
      <c r="H629" s="103">
        <f>SUM(H468)</f>
        <v>1843456.15</v>
      </c>
      <c r="I629" s="139" t="s">
        <v>108</v>
      </c>
      <c r="J629" s="108">
        <f>G629-H629</f>
        <v>0</v>
      </c>
      <c r="K629" s="84"/>
      <c r="L629" s="87"/>
      <c r="M629" s="8"/>
    </row>
    <row r="630" spans="1:13" s="3" customFormat="1" ht="12" customHeight="1" x14ac:dyDescent="0.15">
      <c r="A630" s="22"/>
      <c r="B630" s="104"/>
      <c r="C630" s="104"/>
      <c r="D630" s="104"/>
      <c r="E630" s="104"/>
      <c r="F630" s="119" t="s">
        <v>665</v>
      </c>
      <c r="G630" s="108">
        <f>I193</f>
        <v>26516271.809999999</v>
      </c>
      <c r="H630" s="103">
        <f>SUM(I468)</f>
        <v>26516271.809999999</v>
      </c>
      <c r="I630" s="139" t="s">
        <v>109</v>
      </c>
      <c r="J630" s="108">
        <f>G630-H630</f>
        <v>0</v>
      </c>
      <c r="K630" s="84"/>
      <c r="L630" s="87"/>
      <c r="M630" s="8"/>
    </row>
    <row r="631" spans="1:13" s="3" customFormat="1" ht="12" customHeight="1" x14ac:dyDescent="0.15">
      <c r="A631" s="22"/>
      <c r="B631" s="104"/>
      <c r="C631" s="104"/>
      <c r="D631" s="104"/>
      <c r="E631" s="104"/>
      <c r="F631" s="119" t="s">
        <v>666</v>
      </c>
      <c r="G631" s="108">
        <f>J193</f>
        <v>19280.98</v>
      </c>
      <c r="H631" s="103">
        <f>SUM(J468)</f>
        <v>19280.98</v>
      </c>
      <c r="I631" s="139" t="s">
        <v>110</v>
      </c>
      <c r="J631" s="108">
        <f>G631-H631</f>
        <v>0</v>
      </c>
      <c r="K631" s="84"/>
      <c r="L631" s="87"/>
      <c r="M631" s="8"/>
    </row>
    <row r="632" spans="1:13" s="3" customFormat="1" ht="12" customHeight="1" x14ac:dyDescent="0.15">
      <c r="A632" s="22"/>
      <c r="B632" s="104"/>
      <c r="C632" s="104"/>
      <c r="D632" s="104"/>
      <c r="E632" s="104"/>
      <c r="F632" s="119" t="s">
        <v>395</v>
      </c>
      <c r="G632" s="108">
        <f>SUM(L271)</f>
        <v>60942463.829999998</v>
      </c>
      <c r="H632" s="103">
        <f>SUM(F472)</f>
        <v>60942463.829999998</v>
      </c>
      <c r="I632" s="139" t="s">
        <v>111</v>
      </c>
      <c r="J632" s="108">
        <f t="shared" si="50"/>
        <v>0</v>
      </c>
      <c r="K632" s="84"/>
      <c r="L632" s="87"/>
      <c r="M632" s="8"/>
    </row>
    <row r="633" spans="1:13" s="3" customFormat="1" ht="12" customHeight="1" x14ac:dyDescent="0.15">
      <c r="A633" s="22"/>
      <c r="B633" s="104"/>
      <c r="C633" s="104"/>
      <c r="D633" s="104"/>
      <c r="E633" s="104"/>
      <c r="F633" s="119" t="s">
        <v>396</v>
      </c>
      <c r="G633" s="108">
        <f>SUM(L352)</f>
        <v>1814560.1500000001</v>
      </c>
      <c r="H633" s="103">
        <f>SUM(H472)</f>
        <v>1814560.15</v>
      </c>
      <c r="I633" s="139" t="s">
        <v>112</v>
      </c>
      <c r="J633" s="108">
        <f>G633-H633</f>
        <v>0</v>
      </c>
      <c r="K633" s="84"/>
      <c r="L633" s="87"/>
      <c r="M633" s="8"/>
    </row>
    <row r="634" spans="1:13" s="3" customFormat="1" ht="12" customHeight="1" x14ac:dyDescent="0.15">
      <c r="A634" s="22"/>
      <c r="B634" s="104"/>
      <c r="C634" s="104"/>
      <c r="D634" s="104"/>
      <c r="E634" s="104"/>
      <c r="F634" s="141" t="s">
        <v>247</v>
      </c>
      <c r="G634" s="108">
        <f>I362</f>
        <v>631818.50999999989</v>
      </c>
      <c r="H634" s="103">
        <f>I369</f>
        <v>631818.51</v>
      </c>
      <c r="I634" s="142" t="s">
        <v>248</v>
      </c>
      <c r="J634" s="108">
        <f>G634-H634</f>
        <v>0</v>
      </c>
      <c r="K634" s="84"/>
      <c r="L634" s="87"/>
      <c r="M634" s="8"/>
    </row>
    <row r="635" spans="1:13" s="168" customFormat="1" ht="12" customHeight="1" x14ac:dyDescent="0.15">
      <c r="A635" s="22"/>
      <c r="B635" s="104"/>
      <c r="C635" s="104"/>
      <c r="D635" s="104"/>
      <c r="E635" s="104"/>
      <c r="F635" s="119" t="s">
        <v>113</v>
      </c>
      <c r="G635" s="108">
        <f>SUM(L362)</f>
        <v>1459863.64</v>
      </c>
      <c r="H635" s="103">
        <f>SUM(G472)</f>
        <v>1459863.64</v>
      </c>
      <c r="I635" s="139" t="s">
        <v>114</v>
      </c>
      <c r="J635" s="108">
        <f t="shared" si="50"/>
        <v>0</v>
      </c>
      <c r="K635" s="84"/>
      <c r="L635" s="87"/>
      <c r="M635" s="167"/>
    </row>
    <row r="636" spans="1:13" s="168" customFormat="1" ht="12" customHeight="1" x14ac:dyDescent="0.15">
      <c r="A636" s="22"/>
      <c r="B636" s="104"/>
      <c r="C636" s="104"/>
      <c r="D636" s="104"/>
      <c r="E636" s="104"/>
      <c r="F636" s="119" t="s">
        <v>115</v>
      </c>
      <c r="G636" s="108">
        <f>SUM(L382)</f>
        <v>21456786.669999998</v>
      </c>
      <c r="H636" s="103">
        <f>SUM(I472)</f>
        <v>21456786.670000002</v>
      </c>
      <c r="I636" s="139" t="s">
        <v>116</v>
      </c>
      <c r="J636" s="108">
        <f t="shared" si="50"/>
        <v>0</v>
      </c>
      <c r="K636" s="84"/>
      <c r="L636" s="87"/>
      <c r="M636" s="167"/>
    </row>
    <row r="637" spans="1:13" s="3" customFormat="1" ht="12" customHeight="1" x14ac:dyDescent="0.15">
      <c r="A637" s="160"/>
      <c r="B637" s="161"/>
      <c r="C637" s="161"/>
      <c r="D637" s="161"/>
      <c r="E637" s="161"/>
      <c r="F637" s="162" t="s">
        <v>478</v>
      </c>
      <c r="G637" s="150">
        <f>SUM(L408)</f>
        <v>19280.98</v>
      </c>
      <c r="H637" s="163">
        <f>SUM(J468)</f>
        <v>19280.98</v>
      </c>
      <c r="I637" s="164" t="s">
        <v>110</v>
      </c>
      <c r="J637" s="150">
        <f t="shared" si="50"/>
        <v>0</v>
      </c>
      <c r="K637" s="165"/>
      <c r="L637" s="166"/>
      <c r="M637" s="8"/>
    </row>
    <row r="638" spans="1:13" s="3" customFormat="1" ht="12" customHeight="1" x14ac:dyDescent="0.15">
      <c r="A638" s="160"/>
      <c r="B638" s="161"/>
      <c r="C638" s="161"/>
      <c r="D638" s="161"/>
      <c r="E638" s="161"/>
      <c r="F638" s="162" t="s">
        <v>479</v>
      </c>
      <c r="G638" s="150">
        <f>SUM(L434)</f>
        <v>0</v>
      </c>
      <c r="H638" s="163">
        <f>SUM(J472)</f>
        <v>0</v>
      </c>
      <c r="I638" s="164" t="s">
        <v>117</v>
      </c>
      <c r="J638" s="150">
        <f t="shared" si="50"/>
        <v>0</v>
      </c>
      <c r="K638" s="165"/>
      <c r="L638" s="166"/>
      <c r="M638" s="8"/>
    </row>
    <row r="639" spans="1:13" s="3" customFormat="1" ht="12" customHeight="1" x14ac:dyDescent="0.15">
      <c r="A639" s="22"/>
      <c r="B639" s="104"/>
      <c r="C639" s="104"/>
      <c r="D639" s="104"/>
      <c r="E639" s="104"/>
      <c r="F639" s="119" t="s">
        <v>118</v>
      </c>
      <c r="G639" s="108">
        <f>SUM(F446)</f>
        <v>29644.06</v>
      </c>
      <c r="H639" s="103">
        <f>SUM(F461)</f>
        <v>29644.06</v>
      </c>
      <c r="I639" s="139" t="s">
        <v>857</v>
      </c>
      <c r="J639" s="108">
        <f t="shared" si="50"/>
        <v>0</v>
      </c>
      <c r="K639" s="84"/>
      <c r="L639" s="87"/>
      <c r="M639" s="8"/>
    </row>
    <row r="640" spans="1:13" s="3" customFormat="1" ht="12" customHeight="1" x14ac:dyDescent="0.15">
      <c r="A640" s="22"/>
      <c r="B640" s="104"/>
      <c r="C640" s="104"/>
      <c r="D640" s="104"/>
      <c r="E640" s="104"/>
      <c r="F640" s="119" t="s">
        <v>119</v>
      </c>
      <c r="G640" s="108">
        <f>SUM(G446)</f>
        <v>155739.1</v>
      </c>
      <c r="H640" s="103">
        <f>SUM(G461)</f>
        <v>155739.1</v>
      </c>
      <c r="I640" s="139" t="s">
        <v>858</v>
      </c>
      <c r="J640" s="108">
        <f t="shared" si="50"/>
        <v>0</v>
      </c>
      <c r="K640" s="84"/>
      <c r="L640" s="87"/>
      <c r="M640" s="8"/>
    </row>
    <row r="641" spans="1:13" s="3" customFormat="1" ht="12" customHeight="1" x14ac:dyDescent="0.15">
      <c r="A641" s="22"/>
      <c r="B641" s="104"/>
      <c r="C641" s="104"/>
      <c r="D641" s="104"/>
      <c r="E641" s="104"/>
      <c r="F641" s="119" t="s">
        <v>120</v>
      </c>
      <c r="G641" s="108">
        <f>SUM(H446)</f>
        <v>0</v>
      </c>
      <c r="H641" s="103">
        <f>SUM(H461)</f>
        <v>0</v>
      </c>
      <c r="I641" s="139" t="s">
        <v>859</v>
      </c>
      <c r="J641" s="108">
        <f t="shared" si="50"/>
        <v>0</v>
      </c>
      <c r="K641" s="84"/>
      <c r="L641" s="87"/>
      <c r="M641" s="8"/>
    </row>
    <row r="642" spans="1:13" s="3" customFormat="1" ht="12" customHeight="1" x14ac:dyDescent="0.15">
      <c r="A642" s="22"/>
      <c r="B642" s="104"/>
      <c r="C642" s="104"/>
      <c r="D642" s="104"/>
      <c r="E642" s="104"/>
      <c r="F642" s="119" t="s">
        <v>121</v>
      </c>
      <c r="G642" s="108">
        <f>SUM(I446)</f>
        <v>185383.16</v>
      </c>
      <c r="H642" s="103">
        <f>SUM(I461)</f>
        <v>185383.16</v>
      </c>
      <c r="I642" s="139" t="s">
        <v>860</v>
      </c>
      <c r="J642" s="108">
        <f t="shared" si="50"/>
        <v>0</v>
      </c>
      <c r="K642" s="84"/>
      <c r="L642" s="87"/>
      <c r="M642" s="8"/>
    </row>
    <row r="643" spans="1:13" s="3" customFormat="1" ht="12" customHeight="1" x14ac:dyDescent="0.15">
      <c r="A643" s="22"/>
      <c r="B643" s="104"/>
      <c r="C643" s="104"/>
      <c r="D643" s="104"/>
      <c r="E643" s="104"/>
      <c r="F643" s="119" t="s">
        <v>249</v>
      </c>
      <c r="G643" s="108">
        <f>J57</f>
        <v>0</v>
      </c>
      <c r="H643" s="103">
        <f>F408</f>
        <v>0</v>
      </c>
      <c r="I643" s="139" t="s">
        <v>480</v>
      </c>
      <c r="J643" s="108">
        <f t="shared" si="50"/>
        <v>0</v>
      </c>
      <c r="K643" s="84"/>
      <c r="L643" s="87"/>
      <c r="M643" s="8"/>
    </row>
    <row r="644" spans="1:13" s="3" customFormat="1" ht="12" customHeight="1" x14ac:dyDescent="0.15">
      <c r="A644" s="22"/>
      <c r="B644" s="104"/>
      <c r="C644" s="104"/>
      <c r="D644" s="104"/>
      <c r="E644" s="104"/>
      <c r="F644" s="119" t="s">
        <v>667</v>
      </c>
      <c r="G644" s="108">
        <f>J96</f>
        <v>16.48</v>
      </c>
      <c r="H644" s="103">
        <f>H408</f>
        <v>16.48</v>
      </c>
      <c r="I644" s="139" t="s">
        <v>481</v>
      </c>
      <c r="J644" s="108">
        <f t="shared" si="50"/>
        <v>0</v>
      </c>
      <c r="K644" s="84"/>
      <c r="L644" s="87"/>
      <c r="M644" s="8"/>
    </row>
    <row r="645" spans="1:13" s="3" customFormat="1" ht="12" customHeight="1" x14ac:dyDescent="0.15">
      <c r="A645" s="22"/>
      <c r="B645" s="104"/>
      <c r="C645" s="104"/>
      <c r="D645" s="104"/>
      <c r="E645" s="104"/>
      <c r="F645" s="119" t="s">
        <v>668</v>
      </c>
      <c r="G645" s="108">
        <f>J183</f>
        <v>0</v>
      </c>
      <c r="H645" s="103">
        <f>G408</f>
        <v>0</v>
      </c>
      <c r="I645" s="139" t="s">
        <v>482</v>
      </c>
      <c r="J645" s="108">
        <f t="shared" si="50"/>
        <v>0</v>
      </c>
      <c r="K645" s="84"/>
      <c r="L645" s="87"/>
      <c r="M645" s="8"/>
    </row>
    <row r="646" spans="1:13" s="3" customFormat="1" ht="12" customHeight="1" x14ac:dyDescent="0.15">
      <c r="A646" s="22"/>
      <c r="B646" s="104"/>
      <c r="C646" s="104"/>
      <c r="D646" s="104"/>
      <c r="E646" s="104"/>
      <c r="F646" s="119" t="s">
        <v>666</v>
      </c>
      <c r="G646" s="108">
        <f>J193</f>
        <v>19280.98</v>
      </c>
      <c r="H646" s="103">
        <f>L408</f>
        <v>19280.98</v>
      </c>
      <c r="I646" s="139" t="s">
        <v>478</v>
      </c>
      <c r="J646" s="108">
        <f t="shared" si="50"/>
        <v>0</v>
      </c>
      <c r="K646" s="84"/>
      <c r="L646" s="87"/>
      <c r="M646" s="8"/>
    </row>
    <row r="647" spans="1:13" s="3" customFormat="1" ht="12" customHeight="1" x14ac:dyDescent="0.15">
      <c r="A647" s="22"/>
      <c r="B647" s="104"/>
      <c r="C647" s="104"/>
      <c r="D647" s="104"/>
      <c r="E647" s="104"/>
      <c r="F647" s="119" t="s">
        <v>51</v>
      </c>
      <c r="G647" s="108">
        <f>K598</f>
        <v>2817944.83</v>
      </c>
      <c r="H647" s="103">
        <f>L208+L226+L244</f>
        <v>2817944.83</v>
      </c>
      <c r="I647" s="139" t="s">
        <v>397</v>
      </c>
      <c r="J647" s="108">
        <f t="shared" si="50"/>
        <v>0</v>
      </c>
      <c r="K647" s="84"/>
      <c r="L647" s="87"/>
      <c r="M647" s="8"/>
    </row>
    <row r="648" spans="1:13" s="3" customFormat="1" ht="12" customHeight="1" x14ac:dyDescent="0.15">
      <c r="A648" s="22"/>
      <c r="B648" s="104"/>
      <c r="C648" s="104"/>
      <c r="D648" s="104"/>
      <c r="E648" s="104"/>
      <c r="F648" s="119" t="s">
        <v>52</v>
      </c>
      <c r="G648" s="108">
        <f>K605</f>
        <v>573274.96</v>
      </c>
      <c r="H648" s="103">
        <f>(J257+J338)-(J255+J336)</f>
        <v>573274.96</v>
      </c>
      <c r="I648" s="139" t="s">
        <v>703</v>
      </c>
      <c r="J648" s="108">
        <f t="shared" si="50"/>
        <v>0</v>
      </c>
      <c r="K648" s="84"/>
      <c r="L648" s="87"/>
      <c r="M648" s="8"/>
    </row>
    <row r="649" spans="1:13" s="3" customFormat="1" ht="12" customHeight="1" x14ac:dyDescent="0.15">
      <c r="A649" s="22"/>
      <c r="B649" s="104"/>
      <c r="C649" s="104"/>
      <c r="D649" s="104"/>
      <c r="E649" s="104"/>
      <c r="F649" s="119" t="s">
        <v>388</v>
      </c>
      <c r="G649" s="108">
        <f>L208</f>
        <v>1129380.1599999999</v>
      </c>
      <c r="H649" s="103">
        <f>H598</f>
        <v>1129380.1600000001</v>
      </c>
      <c r="I649" s="139" t="s">
        <v>389</v>
      </c>
      <c r="J649" s="108">
        <f t="shared" si="50"/>
        <v>0</v>
      </c>
      <c r="K649" s="84"/>
      <c r="L649" s="87"/>
      <c r="M649" s="8"/>
    </row>
    <row r="650" spans="1:13" s="3" customFormat="1" ht="12" customHeight="1" x14ac:dyDescent="0.15">
      <c r="A650" s="22"/>
      <c r="B650" s="104"/>
      <c r="C650" s="104"/>
      <c r="D650" s="104"/>
      <c r="E650" s="104"/>
      <c r="F650" s="119" t="s">
        <v>393</v>
      </c>
      <c r="G650" s="108">
        <f>L226</f>
        <v>685361.28</v>
      </c>
      <c r="H650" s="103">
        <f>I598</f>
        <v>685361.27999999991</v>
      </c>
      <c r="I650" s="139" t="s">
        <v>390</v>
      </c>
      <c r="J650" s="108">
        <f t="shared" si="50"/>
        <v>0</v>
      </c>
      <c r="K650" s="84"/>
      <c r="L650" s="87"/>
      <c r="M650" s="8"/>
    </row>
    <row r="651" spans="1:13" s="3" customFormat="1" ht="12" customHeight="1" x14ac:dyDescent="0.15">
      <c r="A651" s="22"/>
      <c r="B651" s="104"/>
      <c r="C651" s="104"/>
      <c r="D651" s="104"/>
      <c r="E651" s="104"/>
      <c r="F651" s="119" t="s">
        <v>394</v>
      </c>
      <c r="G651" s="108">
        <f>L244</f>
        <v>1003203.39</v>
      </c>
      <c r="H651" s="103">
        <f>J598</f>
        <v>1003203.39</v>
      </c>
      <c r="I651" s="139" t="s">
        <v>391</v>
      </c>
      <c r="J651" s="108">
        <f t="shared" si="50"/>
        <v>0</v>
      </c>
      <c r="K651" s="84"/>
      <c r="L651" s="87"/>
      <c r="M651" s="8"/>
    </row>
    <row r="652" spans="1:13" s="3" customFormat="1" ht="12" customHeight="1" x14ac:dyDescent="0.15">
      <c r="A652" s="22"/>
      <c r="B652" s="104"/>
      <c r="C652" s="104"/>
      <c r="D652" s="104"/>
      <c r="E652" s="104"/>
      <c r="F652" s="119" t="s">
        <v>669</v>
      </c>
      <c r="G652" s="108">
        <f>G179</f>
        <v>0</v>
      </c>
      <c r="H652" s="103">
        <f>K263+K345</f>
        <v>0</v>
      </c>
      <c r="I652" s="139" t="s">
        <v>398</v>
      </c>
      <c r="J652" s="108">
        <f t="shared" si="50"/>
        <v>0</v>
      </c>
      <c r="K652" s="84"/>
      <c r="L652" s="87"/>
      <c r="M652" s="8"/>
    </row>
    <row r="653" spans="1:13" s="3" customFormat="1" ht="12" customHeight="1" x14ac:dyDescent="0.15">
      <c r="A653" s="22"/>
      <c r="B653" s="104"/>
      <c r="C653" s="104"/>
      <c r="D653" s="104"/>
      <c r="E653" s="104"/>
      <c r="F653" s="119" t="s">
        <v>670</v>
      </c>
      <c r="G653" s="108">
        <f>H179</f>
        <v>0</v>
      </c>
      <c r="H653" s="103">
        <f>K264</f>
        <v>0</v>
      </c>
      <c r="I653" s="139" t="s">
        <v>399</v>
      </c>
      <c r="J653" s="108">
        <f t="shared" si="50"/>
        <v>0</v>
      </c>
      <c r="K653" s="84"/>
      <c r="L653" s="87"/>
      <c r="M653" s="8"/>
    </row>
    <row r="654" spans="1:13" s="3" customFormat="1" ht="12" customHeight="1" x14ac:dyDescent="0.15">
      <c r="A654" s="22"/>
      <c r="B654" s="104"/>
      <c r="C654" s="104"/>
      <c r="D654" s="104"/>
      <c r="E654" s="104"/>
      <c r="F654" s="119" t="s">
        <v>671</v>
      </c>
      <c r="G654" s="108">
        <f>I179</f>
        <v>0</v>
      </c>
      <c r="H654" s="103">
        <f>K265+K346</f>
        <v>0</v>
      </c>
      <c r="I654" s="139" t="s">
        <v>400</v>
      </c>
      <c r="J654" s="108">
        <f t="shared" si="50"/>
        <v>0</v>
      </c>
      <c r="K654" s="84"/>
      <c r="L654" s="87"/>
      <c r="M654" s="8"/>
    </row>
    <row r="655" spans="1:13" s="3" customFormat="1" ht="12" customHeight="1" x14ac:dyDescent="0.15">
      <c r="A655" s="22"/>
      <c r="B655" s="104"/>
      <c r="C655" s="104"/>
      <c r="D655" s="104"/>
      <c r="E655" s="104"/>
      <c r="F655" s="119" t="s">
        <v>672</v>
      </c>
      <c r="G655" s="108">
        <f>J179+J181</f>
        <v>0</v>
      </c>
      <c r="H655" s="103">
        <f>K266+K347</f>
        <v>0</v>
      </c>
      <c r="I655" s="139" t="s">
        <v>401</v>
      </c>
      <c r="J655" s="108">
        <f t="shared" si="50"/>
        <v>0</v>
      </c>
      <c r="K655" s="84"/>
      <c r="L655" s="87"/>
      <c r="M655" s="8"/>
    </row>
    <row r="656" spans="1:13" s="3" customFormat="1" ht="12" customHeight="1" x14ac:dyDescent="0.15">
      <c r="A656" s="126"/>
      <c r="B656" s="126"/>
      <c r="C656" s="126"/>
      <c r="D656" s="126"/>
      <c r="E656" s="126"/>
      <c r="F656" s="26" t="s">
        <v>122</v>
      </c>
      <c r="G656" s="19"/>
      <c r="H656" s="103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3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22962083.338699996</v>
      </c>
      <c r="G660" s="19">
        <f>(L229+L309+L359)</f>
        <v>12615209.40144</v>
      </c>
      <c r="H660" s="19">
        <f>(L247+L328+L360)</f>
        <v>22418573.58986</v>
      </c>
      <c r="I660" s="19">
        <f>SUM(F660:H660)</f>
        <v>57995866.329999998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357230.60913267214</v>
      </c>
      <c r="G661" s="19">
        <f>(L359/IF(SUM(L358:L360)=0,1,SUM(L358:L360))*(SUM(G97:G110)))</f>
        <v>244856.63757710822</v>
      </c>
      <c r="H661" s="19">
        <f>(L360/IF(SUM(L358:L360)=0,1,SUM(L358:L360))*(SUM(G97:G110)))</f>
        <v>461949.5232902196</v>
      </c>
      <c r="I661" s="19">
        <f>SUM(F661:H661)</f>
        <v>1064036.77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1131002.1499999999</v>
      </c>
      <c r="G662" s="19">
        <f>(L226+L306)-(J226+J306)</f>
        <v>687679.91</v>
      </c>
      <c r="H662" s="19">
        <f>(L244+L325)-(J244+J325)</f>
        <v>1004520.52</v>
      </c>
      <c r="I662" s="19">
        <f>SUM(F662:H662)</f>
        <v>2823202.58</v>
      </c>
      <c r="J662"/>
      <c r="K662" s="13"/>
      <c r="L662" s="13"/>
      <c r="M662" s="8"/>
    </row>
    <row r="663" spans="1:13" s="3" customFormat="1" ht="12" customHeight="1" x14ac:dyDescent="0.15">
      <c r="A663" s="197" t="s">
        <v>129</v>
      </c>
      <c r="B663" s="168"/>
      <c r="C663" s="168"/>
      <c r="D663" s="168"/>
      <c r="E663" s="168"/>
      <c r="F663" s="198">
        <f>SUM(F575:F587)+SUM(H602:H604)+SUM(L611)</f>
        <v>208387.93</v>
      </c>
      <c r="G663" s="198">
        <f>SUM(G575:G587)+SUM(I602:I604)+L612</f>
        <v>666904.44000000006</v>
      </c>
      <c r="H663" s="198">
        <f>SUM(H575:H587)+SUM(J602:J604)+L613</f>
        <v>1531147.18</v>
      </c>
      <c r="I663" s="19">
        <f>SUM(F663:H663)</f>
        <v>2406439.5499999998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21265462.649567325</v>
      </c>
      <c r="G664" s="19">
        <f>G660-SUM(G661:G663)</f>
        <v>11015768.413862891</v>
      </c>
      <c r="H664" s="19">
        <f>H660-SUM(H661:H663)</f>
        <v>19420956.36656978</v>
      </c>
      <c r="I664" s="19">
        <f>I660-SUM(I661:I663)</f>
        <v>51702187.43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6">
        <v>1453.12</v>
      </c>
      <c r="G665" s="247">
        <v>888.54</v>
      </c>
      <c r="H665" s="247">
        <v>1199.49</v>
      </c>
      <c r="I665" s="19">
        <f>SUM(F665:H665)</f>
        <v>3541.1499999999996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14634.35</v>
      </c>
      <c r="G667" s="19">
        <f>ROUND(G664/G665,2)</f>
        <v>12397.61</v>
      </c>
      <c r="H667" s="19">
        <f>ROUND(H664/H665,2)</f>
        <v>16191.01</v>
      </c>
      <c r="I667" s="19">
        <f>ROUND(I664/I665,2)</f>
        <v>14600.39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18.440000000000001</v>
      </c>
      <c r="I670" s="19">
        <f>SUM(F670:H670)</f>
        <v>18.440000000000001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14634.35</v>
      </c>
      <c r="G672" s="19">
        <f>ROUND((G664+G669)/(G665+G670),2)</f>
        <v>12397.61</v>
      </c>
      <c r="H672" s="19">
        <f>ROUND((H664+H669)/(H665+H670),2)</f>
        <v>15945.87</v>
      </c>
      <c r="I672" s="19">
        <f>ROUND((I664+I669)/(I665+I670),2)</f>
        <v>14524.76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5"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785</v>
      </c>
      <c r="B1" s="231" t="str">
        <f>'DOE25'!A2</f>
        <v>SAU 57 - Salem</v>
      </c>
      <c r="C1" s="237" t="s">
        <v>839</v>
      </c>
    </row>
    <row r="2" spans="1:3" x14ac:dyDescent="0.2">
      <c r="A2" s="232"/>
      <c r="B2" s="231"/>
    </row>
    <row r="3" spans="1:3" x14ac:dyDescent="0.2">
      <c r="A3" s="279" t="s">
        <v>784</v>
      </c>
      <c r="B3" s="279"/>
      <c r="C3" s="279"/>
    </row>
    <row r="4" spans="1:3" x14ac:dyDescent="0.2">
      <c r="A4" s="235"/>
      <c r="B4" s="236" t="str">
        <f>'DOE25'!H1</f>
        <v>DOE 25  2015-2016</v>
      </c>
      <c r="C4" s="235"/>
    </row>
    <row r="5" spans="1:3" x14ac:dyDescent="0.2">
      <c r="A5" s="232"/>
      <c r="B5" s="231"/>
    </row>
    <row r="6" spans="1:3" x14ac:dyDescent="0.2">
      <c r="A6" s="226"/>
      <c r="B6" s="278" t="s">
        <v>783</v>
      </c>
      <c r="C6" s="278"/>
    </row>
    <row r="7" spans="1:3" x14ac:dyDescent="0.2">
      <c r="A7" s="238" t="s">
        <v>786</v>
      </c>
      <c r="B7" s="276" t="s">
        <v>782</v>
      </c>
      <c r="C7" s="277"/>
    </row>
    <row r="8" spans="1:3" x14ac:dyDescent="0.2">
      <c r="B8" s="227" t="s">
        <v>54</v>
      </c>
      <c r="C8" s="227" t="s">
        <v>776</v>
      </c>
    </row>
    <row r="9" spans="1:3" x14ac:dyDescent="0.2">
      <c r="A9" s="33" t="s">
        <v>777</v>
      </c>
      <c r="B9" s="228">
        <f>'DOE25'!F197+'DOE25'!F215+'DOE25'!F233+'DOE25'!F276+'DOE25'!F295+'DOE25'!F314</f>
        <v>16821926.330000002</v>
      </c>
      <c r="C9" s="228">
        <f>'DOE25'!G197+'DOE25'!G215+'DOE25'!G233+'DOE25'!G276+'DOE25'!G295+'DOE25'!G314</f>
        <v>7501001.3499999996</v>
      </c>
    </row>
    <row r="10" spans="1:3" x14ac:dyDescent="0.2">
      <c r="A10" t="s">
        <v>779</v>
      </c>
      <c r="B10" s="239">
        <v>15665965.18</v>
      </c>
      <c r="C10" s="239">
        <v>6985682.5572549999</v>
      </c>
    </row>
    <row r="11" spans="1:3" x14ac:dyDescent="0.2">
      <c r="A11" t="s">
        <v>780</v>
      </c>
      <c r="B11" s="239">
        <v>788685</v>
      </c>
      <c r="C11" s="239">
        <v>351796.96331499994</v>
      </c>
    </row>
    <row r="12" spans="1:3" x14ac:dyDescent="0.2">
      <c r="A12" t="s">
        <v>781</v>
      </c>
      <c r="B12" s="239">
        <v>367276.15</v>
      </c>
      <c r="C12" s="239">
        <v>163521.82942999998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16821926.329999998</v>
      </c>
      <c r="C13" s="230">
        <f>SUM(C10:C12)</f>
        <v>7501001.3499999996</v>
      </c>
    </row>
    <row r="14" spans="1:3" x14ac:dyDescent="0.2">
      <c r="B14" s="229"/>
      <c r="C14" s="229"/>
    </row>
    <row r="15" spans="1:3" x14ac:dyDescent="0.2">
      <c r="B15" s="278" t="s">
        <v>783</v>
      </c>
      <c r="C15" s="278"/>
    </row>
    <row r="16" spans="1:3" x14ac:dyDescent="0.2">
      <c r="A16" s="238" t="s">
        <v>787</v>
      </c>
      <c r="B16" s="276" t="s">
        <v>707</v>
      </c>
      <c r="C16" s="277"/>
    </row>
    <row r="17" spans="1:3" x14ac:dyDescent="0.2">
      <c r="B17" s="227" t="s">
        <v>54</v>
      </c>
      <c r="C17" s="227" t="s">
        <v>776</v>
      </c>
    </row>
    <row r="18" spans="1:3" x14ac:dyDescent="0.2">
      <c r="A18" s="33" t="s">
        <v>777</v>
      </c>
      <c r="B18" s="228">
        <f>'DOE25'!F198+'DOE25'!F216+'DOE25'!F234+'DOE25'!F277+'DOE25'!F296+'DOE25'!F315</f>
        <v>5557218.9000000004</v>
      </c>
      <c r="C18" s="228">
        <f>'DOE25'!G198+'DOE25'!G216+'DOE25'!G234+'DOE25'!G277+'DOE25'!G296+'DOE25'!G315</f>
        <v>2045535.5299999998</v>
      </c>
    </row>
    <row r="19" spans="1:3" x14ac:dyDescent="0.2">
      <c r="A19" t="s">
        <v>779</v>
      </c>
      <c r="B19" s="239">
        <v>2359424</v>
      </c>
      <c r="C19" s="239">
        <v>869352.6002499999</v>
      </c>
    </row>
    <row r="20" spans="1:3" x14ac:dyDescent="0.2">
      <c r="A20" t="s">
        <v>780</v>
      </c>
      <c r="B20" s="239">
        <v>2234312.21</v>
      </c>
      <c r="C20" s="239">
        <v>822305.28305999993</v>
      </c>
    </row>
    <row r="21" spans="1:3" x14ac:dyDescent="0.2">
      <c r="A21" t="s">
        <v>781</v>
      </c>
      <c r="B21" s="239">
        <v>963482.69</v>
      </c>
      <c r="C21" s="239">
        <v>353877.64668999997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5557218.9000000004</v>
      </c>
      <c r="C22" s="230">
        <f>SUM(C19:C21)</f>
        <v>2045535.5299999998</v>
      </c>
    </row>
    <row r="23" spans="1:3" x14ac:dyDescent="0.2">
      <c r="B23" s="229"/>
      <c r="C23" s="229"/>
    </row>
    <row r="24" spans="1:3" x14ac:dyDescent="0.2">
      <c r="B24" s="278" t="s">
        <v>783</v>
      </c>
      <c r="C24" s="278"/>
    </row>
    <row r="25" spans="1:3" x14ac:dyDescent="0.2">
      <c r="A25" s="238" t="s">
        <v>788</v>
      </c>
      <c r="B25" s="276" t="s">
        <v>708</v>
      </c>
      <c r="C25" s="277"/>
    </row>
    <row r="26" spans="1:3" x14ac:dyDescent="0.2">
      <c r="B26" s="227" t="s">
        <v>54</v>
      </c>
      <c r="C26" s="227" t="s">
        <v>776</v>
      </c>
    </row>
    <row r="27" spans="1:3" x14ac:dyDescent="0.2">
      <c r="A27" s="33" t="s">
        <v>777</v>
      </c>
      <c r="B27" s="233">
        <f>'DOE25'!F199+'DOE25'!F217+'DOE25'!F235+'DOE25'!F278+'DOE25'!F297+'DOE25'!F316</f>
        <v>998065.8</v>
      </c>
      <c r="C27" s="233">
        <f>'DOE25'!G199+'DOE25'!G217+'DOE25'!G235+'DOE25'!G278+'DOE25'!G297+'DOE25'!G316</f>
        <v>496607.01</v>
      </c>
    </row>
    <row r="28" spans="1:3" x14ac:dyDescent="0.2">
      <c r="A28" t="s">
        <v>779</v>
      </c>
      <c r="B28" s="239">
        <v>706415.5</v>
      </c>
      <c r="C28" s="239">
        <v>351498.44167799997</v>
      </c>
    </row>
    <row r="29" spans="1:3" x14ac:dyDescent="0.2">
      <c r="A29" t="s">
        <v>780</v>
      </c>
      <c r="B29" s="239">
        <v>162752.54</v>
      </c>
      <c r="C29" s="239">
        <v>80996.603331000006</v>
      </c>
    </row>
    <row r="30" spans="1:3" x14ac:dyDescent="0.2">
      <c r="A30" t="s">
        <v>781</v>
      </c>
      <c r="B30" s="239">
        <v>128897.76</v>
      </c>
      <c r="C30" s="239">
        <v>64111.964991000001</v>
      </c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998065.8</v>
      </c>
      <c r="C31" s="230">
        <f>SUM(C28:C30)</f>
        <v>496607.01</v>
      </c>
    </row>
    <row r="33" spans="1:3" x14ac:dyDescent="0.2">
      <c r="B33" s="278" t="s">
        <v>783</v>
      </c>
      <c r="C33" s="278"/>
    </row>
    <row r="34" spans="1:3" x14ac:dyDescent="0.2">
      <c r="A34" s="238" t="s">
        <v>789</v>
      </c>
      <c r="B34" s="276" t="s">
        <v>709</v>
      </c>
      <c r="C34" s="277"/>
    </row>
    <row r="35" spans="1:3" x14ac:dyDescent="0.2">
      <c r="B35" s="227" t="s">
        <v>54</v>
      </c>
      <c r="C35" s="227" t="s">
        <v>776</v>
      </c>
    </row>
    <row r="36" spans="1:3" x14ac:dyDescent="0.2">
      <c r="A36" s="33" t="s">
        <v>777</v>
      </c>
      <c r="B36" s="234">
        <f>'DOE25'!F200+'DOE25'!F218+'DOE25'!F236+'DOE25'!F279+'DOE25'!F298+'DOE25'!F317</f>
        <v>544520.54999999993</v>
      </c>
      <c r="C36" s="234">
        <f>'DOE25'!G200+'DOE25'!G218+'DOE25'!G236+'DOE25'!G279+'DOE25'!G298+'DOE25'!G317</f>
        <v>143223.79</v>
      </c>
    </row>
    <row r="37" spans="1:3" x14ac:dyDescent="0.2">
      <c r="A37" t="s">
        <v>779</v>
      </c>
      <c r="B37" s="239">
        <v>544520.55000000005</v>
      </c>
      <c r="C37" s="239">
        <f>C36</f>
        <v>143223.79</v>
      </c>
    </row>
    <row r="38" spans="1:3" x14ac:dyDescent="0.2">
      <c r="A38" t="s">
        <v>780</v>
      </c>
      <c r="B38" s="239"/>
      <c r="C38" s="239"/>
    </row>
    <row r="39" spans="1:3" x14ac:dyDescent="0.2">
      <c r="A39" t="s">
        <v>781</v>
      </c>
      <c r="B39" s="239"/>
      <c r="C39" s="239"/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544520.55000000005</v>
      </c>
      <c r="C40" s="230">
        <f>SUM(C37:C39)</f>
        <v>143223.79</v>
      </c>
    </row>
    <row r="41" spans="1:3" x14ac:dyDescent="0.2">
      <c r="B41" s="229"/>
      <c r="C41" s="229"/>
    </row>
    <row r="42" spans="1:3" x14ac:dyDescent="0.2">
      <c r="A42" s="33" t="s">
        <v>837</v>
      </c>
      <c r="B42" s="229"/>
      <c r="C42" s="229"/>
    </row>
    <row r="43" spans="1:3" x14ac:dyDescent="0.2">
      <c r="A43" t="s">
        <v>841</v>
      </c>
      <c r="B43" s="229"/>
      <c r="C43" s="229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FY2015-2016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5" sqref="D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0"/>
    </row>
    <row r="2" spans="1:9" x14ac:dyDescent="0.2">
      <c r="A2" s="33" t="s">
        <v>717</v>
      </c>
      <c r="B2" s="264" t="str">
        <f>'DOE25'!A2</f>
        <v>SAU 57 - Salem</v>
      </c>
      <c r="C2" s="180"/>
      <c r="D2" s="180" t="s">
        <v>792</v>
      </c>
      <c r="E2" s="180" t="s">
        <v>794</v>
      </c>
      <c r="F2" s="280" t="s">
        <v>821</v>
      </c>
      <c r="G2" s="281"/>
      <c r="H2" s="282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793</v>
      </c>
      <c r="E3" s="180" t="s">
        <v>795</v>
      </c>
      <c r="F3" s="240" t="s">
        <v>835</v>
      </c>
      <c r="G3" s="216" t="s">
        <v>59</v>
      </c>
      <c r="H3" s="241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4">
        <f t="shared" ref="C5:C19" si="0">SUM(D5:H5)</f>
        <v>36372126.770000003</v>
      </c>
      <c r="D5" s="20">
        <f>SUM('DOE25'!L197:L200)+SUM('DOE25'!L215:L218)+SUM('DOE25'!L233:L236)-F5-G5</f>
        <v>36226692.880000003</v>
      </c>
      <c r="E5" s="242"/>
      <c r="F5" s="254">
        <f>SUM('DOE25'!J197:J200)+SUM('DOE25'!J215:J218)+SUM('DOE25'!J233:J236)</f>
        <v>128707.79000000001</v>
      </c>
      <c r="G5" s="53">
        <f>SUM('DOE25'!K197:K200)+SUM('DOE25'!K215:K218)+SUM('DOE25'!K233:K236)</f>
        <v>16726.099999999999</v>
      </c>
      <c r="H5" s="258"/>
    </row>
    <row r="6" spans="1:9" x14ac:dyDescent="0.2">
      <c r="A6" s="32">
        <v>2100</v>
      </c>
      <c r="B6" t="s">
        <v>801</v>
      </c>
      <c r="C6" s="244">
        <f t="shared" si="0"/>
        <v>4559289.4400000004</v>
      </c>
      <c r="D6" s="20">
        <f>'DOE25'!L202+'DOE25'!L220+'DOE25'!L238-F6-G6</f>
        <v>4558515.4400000004</v>
      </c>
      <c r="E6" s="242"/>
      <c r="F6" s="254">
        <f>'DOE25'!J202+'DOE25'!J220+'DOE25'!J238</f>
        <v>0</v>
      </c>
      <c r="G6" s="53">
        <f>'DOE25'!K202+'DOE25'!K220+'DOE25'!K238</f>
        <v>774</v>
      </c>
      <c r="H6" s="258"/>
    </row>
    <row r="7" spans="1:9" x14ac:dyDescent="0.2">
      <c r="A7" s="32">
        <v>2200</v>
      </c>
      <c r="B7" t="s">
        <v>834</v>
      </c>
      <c r="C7" s="244">
        <f t="shared" si="0"/>
        <v>2113572.37</v>
      </c>
      <c r="D7" s="20">
        <f>'DOE25'!L203+'DOE25'!L221+'DOE25'!L239-F7-G7</f>
        <v>1834593.46</v>
      </c>
      <c r="E7" s="242"/>
      <c r="F7" s="254">
        <f>'DOE25'!J203+'DOE25'!J221+'DOE25'!J239</f>
        <v>278850.91000000003</v>
      </c>
      <c r="G7" s="53">
        <f>'DOE25'!K203+'DOE25'!K221+'DOE25'!K239</f>
        <v>128</v>
      </c>
      <c r="H7" s="258"/>
    </row>
    <row r="8" spans="1:9" x14ac:dyDescent="0.2">
      <c r="A8" s="32">
        <v>2300</v>
      </c>
      <c r="B8" t="s">
        <v>802</v>
      </c>
      <c r="C8" s="244">
        <f t="shared" si="0"/>
        <v>498061.36000000004</v>
      </c>
      <c r="D8" s="242"/>
      <c r="E8" s="20">
        <f>'DOE25'!L204+'DOE25'!L222+'DOE25'!L240-F8-G8-D9-D11</f>
        <v>487058.74000000005</v>
      </c>
      <c r="F8" s="254">
        <f>'DOE25'!J204+'DOE25'!J222+'DOE25'!J240</f>
        <v>0</v>
      </c>
      <c r="G8" s="53">
        <f>'DOE25'!K204+'DOE25'!K222+'DOE25'!K240</f>
        <v>11002.619999999999</v>
      </c>
      <c r="H8" s="258"/>
    </row>
    <row r="9" spans="1:9" x14ac:dyDescent="0.2">
      <c r="A9" s="32">
        <v>2310</v>
      </c>
      <c r="B9" t="s">
        <v>818</v>
      </c>
      <c r="C9" s="244">
        <f t="shared" si="0"/>
        <v>17856.099999999999</v>
      </c>
      <c r="D9" s="243">
        <v>17856.099999999999</v>
      </c>
      <c r="E9" s="242"/>
      <c r="F9" s="257"/>
      <c r="G9" s="255"/>
      <c r="H9" s="258"/>
    </row>
    <row r="10" spans="1:9" x14ac:dyDescent="0.2">
      <c r="A10" s="32">
        <v>2317</v>
      </c>
      <c r="B10" t="s">
        <v>819</v>
      </c>
      <c r="C10" s="244">
        <f t="shared" si="0"/>
        <v>22554.61</v>
      </c>
      <c r="D10" s="242"/>
      <c r="E10" s="243">
        <v>22554.61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4">
        <f t="shared" si="0"/>
        <v>443001.3</v>
      </c>
      <c r="D11" s="243">
        <v>443001.3</v>
      </c>
      <c r="E11" s="242"/>
      <c r="F11" s="257"/>
      <c r="G11" s="255"/>
      <c r="H11" s="258"/>
    </row>
    <row r="12" spans="1:9" x14ac:dyDescent="0.2">
      <c r="A12" s="32">
        <v>2400</v>
      </c>
      <c r="B12" t="s">
        <v>715</v>
      </c>
      <c r="C12" s="244">
        <f t="shared" si="0"/>
        <v>2838182.64</v>
      </c>
      <c r="D12" s="20">
        <f>'DOE25'!L205+'DOE25'!L223+'DOE25'!L241-F12-G12</f>
        <v>2830208.54</v>
      </c>
      <c r="E12" s="242"/>
      <c r="F12" s="254">
        <f>'DOE25'!J205+'DOE25'!J223+'DOE25'!J241</f>
        <v>0</v>
      </c>
      <c r="G12" s="53">
        <f>'DOE25'!K205+'DOE25'!K223+'DOE25'!K241</f>
        <v>7974.1</v>
      </c>
      <c r="H12" s="258"/>
    </row>
    <row r="13" spans="1:9" x14ac:dyDescent="0.2">
      <c r="A13" s="32">
        <v>2500</v>
      </c>
      <c r="B13" t="s">
        <v>803</v>
      </c>
      <c r="C13" s="244">
        <f t="shared" si="0"/>
        <v>525018.29</v>
      </c>
      <c r="D13" s="242"/>
      <c r="E13" s="20">
        <f>'DOE25'!L206+'DOE25'!L224+'DOE25'!L242-F13-G13</f>
        <v>525018.29</v>
      </c>
      <c r="F13" s="254">
        <f>'DOE25'!J206+'DOE25'!J224+'DOE25'!J242</f>
        <v>0</v>
      </c>
      <c r="G13" s="53">
        <f>'DOE25'!K206+'DOE25'!K224+'DOE25'!K242</f>
        <v>0</v>
      </c>
      <c r="H13" s="258"/>
    </row>
    <row r="14" spans="1:9" x14ac:dyDescent="0.2">
      <c r="A14" s="32">
        <v>2600</v>
      </c>
      <c r="B14" t="s">
        <v>832</v>
      </c>
      <c r="C14" s="244">
        <f t="shared" si="0"/>
        <v>4316391.3800000008</v>
      </c>
      <c r="D14" s="20">
        <f>'DOE25'!L207+'DOE25'!L225+'DOE25'!L243-F14-G14</f>
        <v>4290645.5100000007</v>
      </c>
      <c r="E14" s="242"/>
      <c r="F14" s="254">
        <f>'DOE25'!J207+'DOE25'!J225+'DOE25'!J243</f>
        <v>25745.870000000003</v>
      </c>
      <c r="G14" s="53">
        <f>'DOE25'!K207+'DOE25'!K225+'DOE25'!K243</f>
        <v>0</v>
      </c>
      <c r="H14" s="258"/>
    </row>
    <row r="15" spans="1:9" x14ac:dyDescent="0.2">
      <c r="A15" s="32">
        <v>2700</v>
      </c>
      <c r="B15" t="s">
        <v>804</v>
      </c>
      <c r="C15" s="244">
        <f t="shared" si="0"/>
        <v>2817944.83</v>
      </c>
      <c r="D15" s="20">
        <f>'DOE25'!L208+'DOE25'!L226+'DOE25'!L244-F15-G15</f>
        <v>2817944.83</v>
      </c>
      <c r="E15" s="242"/>
      <c r="F15" s="254">
        <f>'DOE25'!J208+'DOE25'!J226+'DOE25'!J244</f>
        <v>0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805</v>
      </c>
      <c r="C16" s="244">
        <f t="shared" si="0"/>
        <v>433290.74</v>
      </c>
      <c r="D16" s="242"/>
      <c r="E16" s="20">
        <f>'DOE25'!L209+'DOE25'!L227+'DOE25'!L245-F16-G16</f>
        <v>428938.74</v>
      </c>
      <c r="F16" s="254">
        <f>'DOE25'!J209+'DOE25'!J227+'DOE25'!J245</f>
        <v>0</v>
      </c>
      <c r="G16" s="53">
        <f>'DOE25'!K209+'DOE25'!K227+'DOE25'!K245</f>
        <v>4352</v>
      </c>
      <c r="H16" s="258"/>
    </row>
    <row r="17" spans="1:8" x14ac:dyDescent="0.2">
      <c r="A17" s="32">
        <v>1600</v>
      </c>
      <c r="B17" t="s">
        <v>806</v>
      </c>
      <c r="C17" s="244">
        <f t="shared" si="0"/>
        <v>218672.03000000003</v>
      </c>
      <c r="D17" s="20">
        <f>'DOE25'!L251-F17-G17</f>
        <v>216317.03000000003</v>
      </c>
      <c r="E17" s="242"/>
      <c r="F17" s="254">
        <f>'DOE25'!J251</f>
        <v>2355</v>
      </c>
      <c r="G17" s="53">
        <f>'DOE25'!K251</f>
        <v>0</v>
      </c>
      <c r="H17" s="258"/>
    </row>
    <row r="18" spans="1:8" x14ac:dyDescent="0.2">
      <c r="A18" s="32">
        <v>1700</v>
      </c>
      <c r="B18" t="s">
        <v>807</v>
      </c>
      <c r="C18" s="244">
        <f t="shared" si="0"/>
        <v>0</v>
      </c>
      <c r="D18" s="20">
        <f>'DOE25'!L252-F18-G18</f>
        <v>0</v>
      </c>
      <c r="E18" s="242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808</v>
      </c>
      <c r="C19" s="244">
        <f t="shared" si="0"/>
        <v>0</v>
      </c>
      <c r="D19" s="20">
        <f>'DOE25'!L253-F19-G19</f>
        <v>0</v>
      </c>
      <c r="E19" s="242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4">
        <f>SUM(D22:H22)</f>
        <v>231061.46</v>
      </c>
      <c r="D22" s="242"/>
      <c r="E22" s="242"/>
      <c r="F22" s="254">
        <f>'DOE25'!L255+'DOE25'!L336</f>
        <v>231061.46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4">
        <f>SUM(D25:H25)</f>
        <v>5557995.1200000001</v>
      </c>
      <c r="D25" s="242"/>
      <c r="E25" s="242"/>
      <c r="F25" s="257"/>
      <c r="G25" s="255"/>
      <c r="H25" s="256">
        <f>'DOE25'!L260+'DOE25'!L261+'DOE25'!L341+'DOE25'!L342</f>
        <v>5557995.1200000001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4">
        <f>SUM(D29:H29)</f>
        <v>857224.89999999991</v>
      </c>
      <c r="D29" s="20">
        <f>'DOE25'!L358+'DOE25'!L359+'DOE25'!L360-'DOE25'!I367-F29-G29</f>
        <v>849332.89999999991</v>
      </c>
      <c r="E29" s="242"/>
      <c r="F29" s="254">
        <f>'DOE25'!J358+'DOE25'!J359+'DOE25'!J360</f>
        <v>7892</v>
      </c>
      <c r="G29" s="53">
        <f>'DOE25'!K358+'DOE25'!K359+'DOE25'!K360</f>
        <v>0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4">
        <f>SUM(D31:H31)</f>
        <v>1793145.6300000001</v>
      </c>
      <c r="D31" s="20">
        <f>'DOE25'!L290+'DOE25'!L309+'DOE25'!L328+'DOE25'!L333+'DOE25'!L334+'DOE25'!L335-F31-G31</f>
        <v>1649708.4800000002</v>
      </c>
      <c r="E31" s="242"/>
      <c r="F31" s="254">
        <f>'DOE25'!J290+'DOE25'!J309+'DOE25'!J328+'DOE25'!J333+'DOE25'!J334+'DOE25'!J335</f>
        <v>137615.39000000001</v>
      </c>
      <c r="G31" s="53">
        <f>'DOE25'!K290+'DOE25'!K309+'DOE25'!K328+'DOE25'!K333+'DOE25'!K334+'DOE25'!K335</f>
        <v>5821.76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5">
        <f>SUM(D5:D31)</f>
        <v>55734816.469999991</v>
      </c>
      <c r="E33" s="245">
        <f>SUM(E5:E31)</f>
        <v>1463570.3800000001</v>
      </c>
      <c r="F33" s="245">
        <f>SUM(F5:F31)</f>
        <v>812228.42</v>
      </c>
      <c r="G33" s="245">
        <f>SUM(G5:G31)</f>
        <v>46778.58</v>
      </c>
      <c r="H33" s="245">
        <f>SUM(H5:H31)</f>
        <v>5557995.1200000001</v>
      </c>
    </row>
    <row r="35" spans="2:8" ht="12" thickBot="1" x14ac:dyDescent="0.25">
      <c r="B35" s="252" t="s">
        <v>847</v>
      </c>
      <c r="D35" s="253">
        <f>E33</f>
        <v>1463570.3800000001</v>
      </c>
      <c r="E35" s="248"/>
    </row>
    <row r="36" spans="2:8" ht="12" thickTop="1" x14ac:dyDescent="0.2">
      <c r="B36" t="s">
        <v>815</v>
      </c>
      <c r="D36" s="20">
        <f>D33</f>
        <v>55734816.469999991</v>
      </c>
    </row>
    <row r="38" spans="2:8" x14ac:dyDescent="0.2">
      <c r="B38" s="186" t="s">
        <v>905</v>
      </c>
      <c r="C38" s="265"/>
      <c r="D38" s="266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9" activePane="bottomLeft" state="frozen"/>
      <selection activeCell="F46" sqref="F46"/>
      <selection pane="bottomLeft" activeCell="C141" sqref="C14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2" t="str">
        <f>'DOE25'!A1</f>
        <v>NAME:</v>
      </c>
      <c r="B1" s="2"/>
      <c r="C1" s="13"/>
      <c r="D1" s="13"/>
      <c r="E1" s="15"/>
      <c r="F1" s="13"/>
      <c r="G1" s="13"/>
      <c r="H1" s="123"/>
      <c r="I1" s="123"/>
    </row>
    <row r="2" spans="1:9" x14ac:dyDescent="0.2">
      <c r="A2" s="133" t="str">
        <f>'DOE25'!A2</f>
        <v>SAU 57 - Salem</v>
      </c>
      <c r="B2" s="125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4"/>
      <c r="I2" s="124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6"/>
      <c r="C4" s="3"/>
      <c r="D4" s="3"/>
      <c r="E4" s="3"/>
      <c r="F4" s="3"/>
      <c r="G4" s="3"/>
      <c r="H4" s="123"/>
      <c r="I4" s="123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3"/>
      <c r="I5" s="123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3"/>
      <c r="I6" s="123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3"/>
      <c r="I7" s="123"/>
    </row>
    <row r="8" spans="1:9" x14ac:dyDescent="0.2">
      <c r="A8" s="1" t="s">
        <v>139</v>
      </c>
      <c r="B8" s="6">
        <v>100</v>
      </c>
      <c r="C8" s="94">
        <f>'DOE25'!F9</f>
        <v>2315459.3199999998</v>
      </c>
      <c r="D8" s="94">
        <f>'DOE25'!G9</f>
        <v>4402.6000000000004</v>
      </c>
      <c r="E8" s="94">
        <f>'DOE25'!H9</f>
        <v>0</v>
      </c>
      <c r="F8" s="94">
        <f>'DOE25'!I9</f>
        <v>22758433.899999999</v>
      </c>
      <c r="G8" s="94">
        <f>'DOE25'!J9</f>
        <v>0</v>
      </c>
      <c r="H8" s="123"/>
      <c r="I8" s="123"/>
    </row>
    <row r="9" spans="1:9" x14ac:dyDescent="0.2">
      <c r="A9" s="1" t="s">
        <v>140</v>
      </c>
      <c r="B9" s="6">
        <v>110</v>
      </c>
      <c r="C9" s="94">
        <f>'DOE25'!F10</f>
        <v>0</v>
      </c>
      <c r="D9" s="94">
        <f>'DOE25'!G10</f>
        <v>0</v>
      </c>
      <c r="E9" s="94">
        <f>'DOE25'!H10</f>
        <v>0</v>
      </c>
      <c r="F9" s="94">
        <f>'DOE25'!I10</f>
        <v>0</v>
      </c>
      <c r="G9" s="94">
        <f>'DOE25'!J10</f>
        <v>166118.66</v>
      </c>
      <c r="H9" s="123"/>
      <c r="I9" s="123"/>
    </row>
    <row r="10" spans="1:9" x14ac:dyDescent="0.2">
      <c r="A10" s="1" t="s">
        <v>141</v>
      </c>
      <c r="B10" s="6">
        <v>120</v>
      </c>
      <c r="C10" s="94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3"/>
      <c r="I10" s="123"/>
    </row>
    <row r="11" spans="1:9" x14ac:dyDescent="0.2">
      <c r="A11" s="1" t="s">
        <v>142</v>
      </c>
      <c r="B11" s="6">
        <v>130</v>
      </c>
      <c r="C11" s="94">
        <f>'DOE25'!F12</f>
        <v>46353.790000000037</v>
      </c>
      <c r="D11" s="94">
        <f>'DOE25'!G12</f>
        <v>60214.030000000006</v>
      </c>
      <c r="E11" s="94">
        <f>'DOE25'!H12</f>
        <v>140123.62</v>
      </c>
      <c r="F11" s="94">
        <f>'DOE25'!I12</f>
        <v>0</v>
      </c>
      <c r="G11" s="94">
        <f>'DOE25'!J12</f>
        <v>19264.5</v>
      </c>
      <c r="H11" s="123"/>
      <c r="I11" s="123"/>
    </row>
    <row r="12" spans="1:9" x14ac:dyDescent="0.2">
      <c r="A12" s="1" t="s">
        <v>143</v>
      </c>
      <c r="B12" s="6">
        <v>140</v>
      </c>
      <c r="C12" s="94">
        <f>'DOE25'!F13</f>
        <v>206277.75</v>
      </c>
      <c r="D12" s="94">
        <f>'DOE25'!G13</f>
        <v>13405.89</v>
      </c>
      <c r="E12" s="94">
        <f>'DOE25'!H13</f>
        <v>362388.77</v>
      </c>
      <c r="F12" s="94">
        <f>'DOE25'!I13</f>
        <v>616103.30000000005</v>
      </c>
      <c r="G12" s="94">
        <f>'DOE25'!J13</f>
        <v>0</v>
      </c>
      <c r="H12" s="123"/>
      <c r="I12" s="123"/>
    </row>
    <row r="13" spans="1:9" x14ac:dyDescent="0.2">
      <c r="A13" s="1" t="s">
        <v>144</v>
      </c>
      <c r="B13" s="6">
        <v>150</v>
      </c>
      <c r="C13" s="94">
        <f>'DOE25'!F14</f>
        <v>2769</v>
      </c>
      <c r="D13" s="94">
        <f>'DOE25'!G14</f>
        <v>0</v>
      </c>
      <c r="E13" s="94">
        <f>'DOE25'!H14</f>
        <v>0</v>
      </c>
      <c r="F13" s="94">
        <f>'DOE25'!I14</f>
        <v>0</v>
      </c>
      <c r="G13" s="94">
        <f>'DOE25'!J14</f>
        <v>0</v>
      </c>
      <c r="H13" s="123"/>
      <c r="I13" s="123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4">
        <f>'DOE25'!I15</f>
        <v>0</v>
      </c>
      <c r="G14" s="24" t="s">
        <v>289</v>
      </c>
      <c r="H14" s="123"/>
      <c r="I14" s="123"/>
    </row>
    <row r="15" spans="1:9" x14ac:dyDescent="0.2">
      <c r="A15" s="1" t="s">
        <v>146</v>
      </c>
      <c r="B15" s="6">
        <v>170</v>
      </c>
      <c r="C15" s="94">
        <f>'DOE25'!F16</f>
        <v>0</v>
      </c>
      <c r="D15" s="94">
        <f>'DOE25'!G16</f>
        <v>0</v>
      </c>
      <c r="E15" s="94">
        <f>'DOE25'!H16</f>
        <v>0</v>
      </c>
      <c r="F15" s="94">
        <f>'DOE25'!I16</f>
        <v>0</v>
      </c>
      <c r="G15" s="24" t="s">
        <v>289</v>
      </c>
      <c r="H15" s="123"/>
      <c r="I15" s="123"/>
    </row>
    <row r="16" spans="1:9" x14ac:dyDescent="0.2">
      <c r="A16" s="1" t="s">
        <v>147</v>
      </c>
      <c r="B16" s="6">
        <v>180</v>
      </c>
      <c r="C16" s="94">
        <f>'DOE25'!F17</f>
        <v>0</v>
      </c>
      <c r="D16" s="94">
        <f>'DOE25'!G17</f>
        <v>0</v>
      </c>
      <c r="E16" s="94">
        <f>'DOE25'!H17</f>
        <v>0</v>
      </c>
      <c r="F16" s="94">
        <f>'DOE25'!I17</f>
        <v>0</v>
      </c>
      <c r="G16" s="94">
        <f>'DOE25'!J17</f>
        <v>0</v>
      </c>
      <c r="H16" s="123"/>
      <c r="I16" s="123"/>
    </row>
    <row r="17" spans="1:9" ht="12" thickBot="1" x14ac:dyDescent="0.25">
      <c r="A17" s="1" t="s">
        <v>148</v>
      </c>
      <c r="B17" s="6">
        <v>190</v>
      </c>
      <c r="C17" s="94">
        <f>'DOE25'!F18</f>
        <v>0</v>
      </c>
      <c r="D17" s="94">
        <f>'DOE25'!G18</f>
        <v>0</v>
      </c>
      <c r="E17" s="94">
        <f>'DOE25'!H18</f>
        <v>0</v>
      </c>
      <c r="F17" s="94">
        <f>'DOE25'!I18</f>
        <v>0</v>
      </c>
      <c r="G17" s="94">
        <f>'DOE25'!J18</f>
        <v>0</v>
      </c>
      <c r="H17" s="123"/>
      <c r="I17" s="123"/>
    </row>
    <row r="18" spans="1:9" ht="12" thickTop="1" x14ac:dyDescent="0.2">
      <c r="A18" s="38" t="s">
        <v>149</v>
      </c>
      <c r="B18" s="39"/>
      <c r="C18" s="41">
        <f>SUM(C8:C17)</f>
        <v>2570859.86</v>
      </c>
      <c r="D18" s="41">
        <f>SUM(D8:D17)</f>
        <v>78022.52</v>
      </c>
      <c r="E18" s="41">
        <f>SUM(E8:E17)</f>
        <v>502512.39</v>
      </c>
      <c r="F18" s="41">
        <f>SUM(F8:F17)</f>
        <v>23374537.199999999</v>
      </c>
      <c r="G18" s="41">
        <f>SUM(G8:G17)</f>
        <v>185383.16</v>
      </c>
      <c r="H18" s="123"/>
      <c r="I18" s="123"/>
    </row>
    <row r="19" spans="1:9" x14ac:dyDescent="0.2">
      <c r="A19" s="1" t="s">
        <v>303</v>
      </c>
      <c r="B19" s="126"/>
      <c r="C19" s="13"/>
      <c r="D19" s="13"/>
      <c r="E19" s="13"/>
      <c r="F19" s="13"/>
      <c r="G19" s="13"/>
      <c r="H19" s="123"/>
      <c r="I19" s="123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3"/>
      <c r="I20" s="123"/>
    </row>
    <row r="21" spans="1:9" x14ac:dyDescent="0.2">
      <c r="A21" s="1" t="s">
        <v>150</v>
      </c>
      <c r="B21" s="6">
        <v>400</v>
      </c>
      <c r="C21" s="94">
        <f>'DOE25'!F22</f>
        <v>0</v>
      </c>
      <c r="D21" s="94">
        <f>'DOE25'!G22</f>
        <v>0</v>
      </c>
      <c r="E21" s="94">
        <f>'DOE25'!H22</f>
        <v>246691.44</v>
      </c>
      <c r="F21" s="94">
        <f>'DOE25'!I22</f>
        <v>0</v>
      </c>
      <c r="G21" s="94">
        <f>'DOE25'!J22</f>
        <v>0</v>
      </c>
      <c r="H21" s="123"/>
      <c r="I21" s="123"/>
    </row>
    <row r="22" spans="1:9" x14ac:dyDescent="0.2">
      <c r="A22" s="1" t="s">
        <v>151</v>
      </c>
      <c r="B22" s="6">
        <v>410</v>
      </c>
      <c r="C22" s="94">
        <f>'DOE25'!F23</f>
        <v>0</v>
      </c>
      <c r="D22" s="94">
        <f>'DOE25'!G23</f>
        <v>0</v>
      </c>
      <c r="E22" s="94">
        <f>'DOE25'!H23</f>
        <v>0</v>
      </c>
      <c r="F22" s="94">
        <f>'DOE25'!I23</f>
        <v>0</v>
      </c>
      <c r="G22" s="94">
        <f>'DOE25'!J23</f>
        <v>0</v>
      </c>
      <c r="H22" s="123"/>
      <c r="I22" s="123"/>
    </row>
    <row r="23" spans="1:9" x14ac:dyDescent="0.2">
      <c r="A23" s="1" t="s">
        <v>152</v>
      </c>
      <c r="B23" s="6">
        <v>420</v>
      </c>
      <c r="C23" s="94">
        <f>'DOE25'!F24</f>
        <v>118088.96000000001</v>
      </c>
      <c r="D23" s="94">
        <f>'DOE25'!G24</f>
        <v>3622.3</v>
      </c>
      <c r="E23" s="94">
        <f>'DOE25'!H24</f>
        <v>33755.5</v>
      </c>
      <c r="F23" s="94">
        <f>'DOE25'!I24</f>
        <v>0</v>
      </c>
      <c r="G23" s="94">
        <f>'DOE25'!J24</f>
        <v>0</v>
      </c>
      <c r="H23" s="123"/>
      <c r="I23" s="123"/>
    </row>
    <row r="24" spans="1:9" x14ac:dyDescent="0.2">
      <c r="A24" s="1" t="s">
        <v>153</v>
      </c>
      <c r="B24" s="6">
        <v>430</v>
      </c>
      <c r="C24" s="94">
        <f>'DOE25'!F25</f>
        <v>0</v>
      </c>
      <c r="D24" s="94">
        <f>'DOE25'!G25</f>
        <v>0</v>
      </c>
      <c r="E24" s="94">
        <f>'DOE25'!H25</f>
        <v>0</v>
      </c>
      <c r="F24" s="94">
        <f>'DOE25'!I25</f>
        <v>0</v>
      </c>
      <c r="G24" s="24" t="s">
        <v>289</v>
      </c>
      <c r="H24" s="123"/>
      <c r="I24" s="123"/>
    </row>
    <row r="25" spans="1:9" x14ac:dyDescent="0.2">
      <c r="A25" s="1" t="s">
        <v>154</v>
      </c>
      <c r="B25" s="6">
        <v>440</v>
      </c>
      <c r="C25" s="94">
        <f>'DOE25'!F26</f>
        <v>0</v>
      </c>
      <c r="D25" s="24" t="s">
        <v>289</v>
      </c>
      <c r="E25" s="24" t="s">
        <v>289</v>
      </c>
      <c r="F25" s="94">
        <f>'DOE25'!I26</f>
        <v>0</v>
      </c>
      <c r="G25" s="24" t="s">
        <v>289</v>
      </c>
      <c r="H25" s="123"/>
      <c r="I25" s="123"/>
    </row>
    <row r="26" spans="1:9" x14ac:dyDescent="0.2">
      <c r="A26" s="1" t="s">
        <v>155</v>
      </c>
      <c r="B26" s="6">
        <v>450</v>
      </c>
      <c r="C26" s="94">
        <f>'DOE25'!F27</f>
        <v>0</v>
      </c>
      <c r="D26" s="24" t="s">
        <v>289</v>
      </c>
      <c r="E26" s="24" t="s">
        <v>289</v>
      </c>
      <c r="F26" s="94">
        <f>'DOE25'!I27</f>
        <v>0</v>
      </c>
      <c r="G26" s="24" t="s">
        <v>289</v>
      </c>
      <c r="H26" s="123"/>
      <c r="I26" s="123"/>
    </row>
    <row r="27" spans="1:9" x14ac:dyDescent="0.2">
      <c r="A27" s="1" t="s">
        <v>156</v>
      </c>
      <c r="B27" s="6">
        <v>460</v>
      </c>
      <c r="C27" s="94">
        <f>'DOE25'!F28</f>
        <v>0</v>
      </c>
      <c r="D27" s="94">
        <f>'DOE25'!G28</f>
        <v>0</v>
      </c>
      <c r="E27" s="94">
        <f>'DOE25'!H28</f>
        <v>0</v>
      </c>
      <c r="F27" s="94">
        <f>'DOE25'!I28</f>
        <v>0</v>
      </c>
      <c r="G27" s="24" t="s">
        <v>289</v>
      </c>
      <c r="H27" s="123"/>
      <c r="I27" s="123"/>
    </row>
    <row r="28" spans="1:9" x14ac:dyDescent="0.2">
      <c r="A28" s="1" t="s">
        <v>157</v>
      </c>
      <c r="B28" s="6">
        <v>470</v>
      </c>
      <c r="C28" s="94">
        <f>'DOE25'!F29</f>
        <v>106872.53</v>
      </c>
      <c r="D28" s="94">
        <f>'DOE25'!G29</f>
        <v>1358.74</v>
      </c>
      <c r="E28" s="94">
        <f>'DOE25'!H29</f>
        <v>26332.42</v>
      </c>
      <c r="F28" s="94">
        <f>'DOE25'!I29</f>
        <v>0</v>
      </c>
      <c r="G28" s="24" t="s">
        <v>289</v>
      </c>
      <c r="H28" s="123"/>
      <c r="I28" s="123"/>
    </row>
    <row r="29" spans="1:9" x14ac:dyDescent="0.2">
      <c r="A29" s="1" t="s">
        <v>158</v>
      </c>
      <c r="B29" s="6">
        <v>480</v>
      </c>
      <c r="C29" s="94">
        <f>'DOE25'!F30</f>
        <v>0</v>
      </c>
      <c r="D29" s="94">
        <f>'DOE25'!G30</f>
        <v>0</v>
      </c>
      <c r="E29" s="94">
        <f>'DOE25'!H30</f>
        <v>0</v>
      </c>
      <c r="F29" s="94">
        <f>'DOE25'!I30</f>
        <v>0</v>
      </c>
      <c r="G29" s="24" t="s">
        <v>289</v>
      </c>
      <c r="H29" s="123"/>
      <c r="I29" s="123"/>
    </row>
    <row r="30" spans="1:9" ht="12" thickBot="1" x14ac:dyDescent="0.25">
      <c r="A30" s="1" t="s">
        <v>159</v>
      </c>
      <c r="B30" s="70">
        <v>490</v>
      </c>
      <c r="C30" s="94">
        <f>'DOE25'!F31</f>
        <v>0</v>
      </c>
      <c r="D30" s="94">
        <f>'DOE25'!G31</f>
        <v>0</v>
      </c>
      <c r="E30" s="94">
        <f>'DOE25'!H31</f>
        <v>0</v>
      </c>
      <c r="F30" s="94">
        <f>'DOE25'!I31</f>
        <v>0</v>
      </c>
      <c r="G30" s="94">
        <f>'DOE25'!J31</f>
        <v>0</v>
      </c>
      <c r="H30" s="123"/>
      <c r="I30" s="123"/>
    </row>
    <row r="31" spans="1:9" ht="12" thickTop="1" x14ac:dyDescent="0.2">
      <c r="A31" s="38" t="s">
        <v>160</v>
      </c>
      <c r="B31" s="2"/>
      <c r="C31" s="41">
        <f>SUM(C21:C30)</f>
        <v>224961.49</v>
      </c>
      <c r="D31" s="41">
        <f>SUM(D21:D30)</f>
        <v>4981.04</v>
      </c>
      <c r="E31" s="41">
        <f>SUM(E21:E30)</f>
        <v>306779.36</v>
      </c>
      <c r="F31" s="41">
        <f>SUM(F21:F30)</f>
        <v>0</v>
      </c>
      <c r="G31" s="41">
        <f>SUM(G21:G30)</f>
        <v>0</v>
      </c>
      <c r="H31" s="123"/>
      <c r="I31" s="123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3"/>
      <c r="I32" s="123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3"/>
      <c r="I33" s="123"/>
    </row>
    <row r="34" spans="1:9" x14ac:dyDescent="0.2">
      <c r="A34" s="1" t="s">
        <v>865</v>
      </c>
      <c r="B34" s="6">
        <v>751</v>
      </c>
      <c r="C34" s="94">
        <f>'DOE25'!F35</f>
        <v>0</v>
      </c>
      <c r="D34" s="94">
        <f>'DOE25'!G35</f>
        <v>0</v>
      </c>
      <c r="E34" s="94">
        <f>'DOE25'!H35</f>
        <v>0</v>
      </c>
      <c r="F34" s="94">
        <f>'DOE25'!I35</f>
        <v>0</v>
      </c>
      <c r="G34" s="24" t="s">
        <v>289</v>
      </c>
      <c r="H34" s="123"/>
      <c r="I34" s="123"/>
    </row>
    <row r="35" spans="1:9" x14ac:dyDescent="0.2">
      <c r="A35" s="1" t="s">
        <v>866</v>
      </c>
      <c r="B35" s="6">
        <v>752</v>
      </c>
      <c r="C35" s="94">
        <f>'DOE25'!F36</f>
        <v>0</v>
      </c>
      <c r="D35" s="94">
        <f>'DOE25'!G36</f>
        <v>0</v>
      </c>
      <c r="E35" s="94">
        <f>'DOE25'!H36</f>
        <v>0</v>
      </c>
      <c r="F35" s="94">
        <f>'DOE25'!I36</f>
        <v>0</v>
      </c>
      <c r="G35" s="24" t="s">
        <v>289</v>
      </c>
      <c r="H35" s="123"/>
      <c r="I35" s="123"/>
    </row>
    <row r="36" spans="1:9" x14ac:dyDescent="0.2">
      <c r="A36" s="1" t="s">
        <v>872</v>
      </c>
      <c r="B36" s="6">
        <v>756</v>
      </c>
      <c r="C36" s="94">
        <f>'DOE25'!F37</f>
        <v>0</v>
      </c>
      <c r="D36" s="94">
        <f>'DOE25'!G37</f>
        <v>0</v>
      </c>
      <c r="E36" s="94">
        <f>'DOE25'!H37</f>
        <v>0</v>
      </c>
      <c r="F36" s="94">
        <f>'DOE25'!I37</f>
        <v>0</v>
      </c>
      <c r="G36" s="94">
        <f>'DOE25'!J37</f>
        <v>0</v>
      </c>
      <c r="H36" s="123"/>
      <c r="I36" s="123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3"/>
      <c r="I37" s="123"/>
    </row>
    <row r="38" spans="1:9" x14ac:dyDescent="0.2">
      <c r="A38" s="1" t="s">
        <v>873</v>
      </c>
      <c r="B38" s="6">
        <v>756</v>
      </c>
      <c r="C38" s="94">
        <f>'DOE25'!F39</f>
        <v>0</v>
      </c>
      <c r="D38" s="94">
        <f>'DOE25'!G39</f>
        <v>0</v>
      </c>
      <c r="E38" s="94">
        <f>'DOE25'!H39</f>
        <v>0</v>
      </c>
      <c r="F38" s="94">
        <f>'DOE25'!I39</f>
        <v>0</v>
      </c>
      <c r="G38" s="94">
        <f>'DOE25'!J39</f>
        <v>0</v>
      </c>
      <c r="H38" s="123"/>
      <c r="I38" s="123"/>
    </row>
    <row r="39" spans="1:9" x14ac:dyDescent="0.2">
      <c r="A39" s="1" t="s">
        <v>877</v>
      </c>
      <c r="B39" s="6"/>
      <c r="C39" s="24" t="s">
        <v>289</v>
      </c>
      <c r="D39" s="94">
        <f>'DOE25'!G40</f>
        <v>0</v>
      </c>
      <c r="E39" s="24" t="s">
        <v>289</v>
      </c>
      <c r="F39" s="24" t="s">
        <v>289</v>
      </c>
      <c r="G39" s="24" t="s">
        <v>289</v>
      </c>
      <c r="H39" s="123"/>
      <c r="I39" s="123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4">
        <f>'DOE25'!I41</f>
        <v>0</v>
      </c>
      <c r="G40" s="24" t="s">
        <v>289</v>
      </c>
      <c r="H40" s="123"/>
      <c r="I40" s="123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3"/>
      <c r="I41" s="123"/>
    </row>
    <row r="42" spans="1:9" x14ac:dyDescent="0.2">
      <c r="A42" s="1" t="s">
        <v>878</v>
      </c>
      <c r="B42" s="6">
        <v>754</v>
      </c>
      <c r="C42" s="94">
        <f>'DOE25'!F43</f>
        <v>0</v>
      </c>
      <c r="D42" s="94">
        <f>'DOE25'!G43</f>
        <v>0</v>
      </c>
      <c r="E42" s="94">
        <f>'DOE25'!H43</f>
        <v>0</v>
      </c>
      <c r="F42" s="94">
        <f>'DOE25'!I43</f>
        <v>0</v>
      </c>
      <c r="G42" s="94">
        <f>'DOE25'!J43</f>
        <v>0</v>
      </c>
      <c r="H42" s="123"/>
      <c r="I42" s="123"/>
    </row>
    <row r="43" spans="1:9" x14ac:dyDescent="0.2">
      <c r="A43" s="1" t="s">
        <v>879</v>
      </c>
      <c r="B43" s="6">
        <v>755</v>
      </c>
      <c r="C43" s="94">
        <f>'DOE25'!F44</f>
        <v>0</v>
      </c>
      <c r="D43" s="94">
        <f>'DOE25'!G44</f>
        <v>0</v>
      </c>
      <c r="E43" s="94">
        <f>'DOE25'!H44</f>
        <v>0</v>
      </c>
      <c r="F43" s="94">
        <f>'DOE25'!I44</f>
        <v>0</v>
      </c>
      <c r="G43" s="24" t="s">
        <v>289</v>
      </c>
      <c r="H43" s="123"/>
      <c r="I43" s="123"/>
    </row>
    <row r="44" spans="1:9" x14ac:dyDescent="0.2">
      <c r="A44" s="1" t="s">
        <v>880</v>
      </c>
      <c r="B44" s="6">
        <v>753</v>
      </c>
      <c r="C44" s="94">
        <f>'DOE25'!F45</f>
        <v>0</v>
      </c>
      <c r="D44" s="94">
        <f>'DOE25'!G45</f>
        <v>0</v>
      </c>
      <c r="E44" s="94">
        <f>'DOE25'!H45</f>
        <v>0</v>
      </c>
      <c r="F44" s="94">
        <f>'DOE25'!I45</f>
        <v>0</v>
      </c>
      <c r="G44" s="94">
        <f>'DOE25'!J45</f>
        <v>0</v>
      </c>
      <c r="H44" s="123"/>
      <c r="I44" s="123"/>
    </row>
    <row r="45" spans="1:9" x14ac:dyDescent="0.2">
      <c r="A45" s="1" t="s">
        <v>896</v>
      </c>
      <c r="B45" s="6"/>
      <c r="C45" s="94">
        <f>'DOE25'!F46</f>
        <v>589525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3"/>
      <c r="I45" s="123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3"/>
      <c r="I46" s="123"/>
    </row>
    <row r="47" spans="1:9" x14ac:dyDescent="0.2">
      <c r="A47" s="1" t="s">
        <v>897</v>
      </c>
      <c r="B47" s="6">
        <v>760</v>
      </c>
      <c r="C47" s="94">
        <f>'DOE25'!F48</f>
        <v>206927.15</v>
      </c>
      <c r="D47" s="94">
        <f>'DOE25'!G48</f>
        <v>73041.48</v>
      </c>
      <c r="E47" s="94">
        <f>'DOE25'!H48</f>
        <v>195733.03</v>
      </c>
      <c r="F47" s="94">
        <f>'DOE25'!I48</f>
        <v>23125580.239999998</v>
      </c>
      <c r="G47" s="94">
        <f>'DOE25'!J48</f>
        <v>185383.16</v>
      </c>
      <c r="H47" s="123"/>
      <c r="I47" s="123"/>
    </row>
    <row r="48" spans="1:9" x14ac:dyDescent="0.2">
      <c r="A48" s="1" t="s">
        <v>898</v>
      </c>
      <c r="B48" s="6">
        <v>753</v>
      </c>
      <c r="C48" s="94">
        <f>'DOE25'!F49</f>
        <v>147971.74</v>
      </c>
      <c r="D48" s="94">
        <f>'DOE25'!G49</f>
        <v>0</v>
      </c>
      <c r="E48" s="94">
        <f>'DOE25'!H49</f>
        <v>0</v>
      </c>
      <c r="F48" s="94">
        <f>'DOE25'!I49</f>
        <v>248956.96</v>
      </c>
      <c r="G48" s="94">
        <f>'DOE25'!J49</f>
        <v>0</v>
      </c>
      <c r="H48" s="123"/>
      <c r="I48" s="123"/>
    </row>
    <row r="49" spans="1:9" ht="12" thickBot="1" x14ac:dyDescent="0.25">
      <c r="A49" s="29" t="s">
        <v>899</v>
      </c>
      <c r="B49" s="70">
        <v>770</v>
      </c>
      <c r="C49" s="94">
        <f>'DOE25'!F50</f>
        <v>1401474.4800000002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3"/>
      <c r="I49" s="123"/>
    </row>
    <row r="50" spans="1:9" ht="12.75" thickTop="1" thickBot="1" x14ac:dyDescent="0.25">
      <c r="A50" s="38" t="s">
        <v>900</v>
      </c>
      <c r="B50" s="48"/>
      <c r="C50" s="41">
        <f>SUM(C34:C49)</f>
        <v>2345898.37</v>
      </c>
      <c r="D50" s="41">
        <f>SUM(D34:D49)</f>
        <v>73041.48</v>
      </c>
      <c r="E50" s="41">
        <f>SUM(E34:E49)</f>
        <v>195733.03</v>
      </c>
      <c r="F50" s="41">
        <f>SUM(F34:F49)</f>
        <v>23374537.199999999</v>
      </c>
      <c r="G50" s="41">
        <f>SUM(G34:G49)</f>
        <v>185383.16</v>
      </c>
      <c r="H50" s="123"/>
      <c r="I50" s="123"/>
    </row>
    <row r="51" spans="1:9" ht="12" thickTop="1" x14ac:dyDescent="0.2">
      <c r="A51" s="38" t="s">
        <v>901</v>
      </c>
      <c r="B51" s="2"/>
      <c r="C51" s="41">
        <f>C50+C31</f>
        <v>2570859.8600000003</v>
      </c>
      <c r="D51" s="41">
        <f>D50+D31</f>
        <v>78022.51999999999</v>
      </c>
      <c r="E51" s="41">
        <f>E50+E31</f>
        <v>502512.39</v>
      </c>
      <c r="F51" s="41">
        <f>F50+F31</f>
        <v>23374537.199999999</v>
      </c>
      <c r="G51" s="41">
        <f>G50+G31</f>
        <v>185383.16</v>
      </c>
      <c r="H51" s="123"/>
      <c r="I51" s="123"/>
    </row>
    <row r="52" spans="1:9" x14ac:dyDescent="0.2">
      <c r="H52" s="123"/>
      <c r="I52" s="123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6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7" t="s">
        <v>161</v>
      </c>
      <c r="B55" s="126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4">
        <f>'DOE25'!F60</f>
        <v>42042634</v>
      </c>
      <c r="D56" s="94">
        <f>'DOE25'!G60</f>
        <v>0</v>
      </c>
      <c r="E56" s="94">
        <f>'DOE25'!H60</f>
        <v>0</v>
      </c>
      <c r="F56" s="94">
        <f>'DOE25'!I60</f>
        <v>0</v>
      </c>
      <c r="G56" s="94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4">
        <f>'DOE25'!F79</f>
        <v>708718.6</v>
      </c>
      <c r="D57" s="24" t="s">
        <v>289</v>
      </c>
      <c r="E57" s="94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4">
        <f>'DOE25'!F94</f>
        <v>0</v>
      </c>
      <c r="D58" s="24" t="s">
        <v>289</v>
      </c>
      <c r="E58" s="94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8" t="s">
        <v>168</v>
      </c>
      <c r="B59" s="37" t="s">
        <v>169</v>
      </c>
      <c r="C59" s="94">
        <f>'DOE25'!F96</f>
        <v>1110.2</v>
      </c>
      <c r="D59" s="94">
        <f>'DOE25'!G96</f>
        <v>0</v>
      </c>
      <c r="E59" s="94">
        <f>'DOE25'!H96</f>
        <v>0</v>
      </c>
      <c r="F59" s="94">
        <f>'DOE25'!I96</f>
        <v>31005.25</v>
      </c>
      <c r="G59" s="94">
        <f>'DOE25'!J96</f>
        <v>16.48</v>
      </c>
      <c r="H59"/>
      <c r="I59"/>
    </row>
    <row r="60" spans="1:9" x14ac:dyDescent="0.2">
      <c r="A60" s="1" t="s">
        <v>170</v>
      </c>
      <c r="B60" s="117" t="s">
        <v>171</v>
      </c>
      <c r="C60" s="24" t="s">
        <v>289</v>
      </c>
      <c r="D60" s="94">
        <f>'DOE25'!G97</f>
        <v>1064036.77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7" t="s">
        <v>173</v>
      </c>
      <c r="C61" s="94">
        <f>SUM('DOE25'!F98:F110)</f>
        <v>844786.51000000013</v>
      </c>
      <c r="D61" s="94">
        <f>SUM('DOE25'!G98:G110)</f>
        <v>0</v>
      </c>
      <c r="E61" s="94">
        <f>SUM('DOE25'!H98:H110)</f>
        <v>47066.99</v>
      </c>
      <c r="F61" s="94">
        <f>SUM('DOE25'!I98:I110)</f>
        <v>0</v>
      </c>
      <c r="G61" s="94">
        <f>SUM('DOE25'!J98:J110)</f>
        <v>19264.5</v>
      </c>
      <c r="H61"/>
      <c r="I61"/>
    </row>
    <row r="62" spans="1:9" ht="12.75" thickTop="1" thickBot="1" x14ac:dyDescent="0.25">
      <c r="A62" s="29" t="s">
        <v>174</v>
      </c>
      <c r="B62" s="6"/>
      <c r="C62" s="129">
        <f>SUM(C57:C61)</f>
        <v>1554615.31</v>
      </c>
      <c r="D62" s="129">
        <f>SUM(D57:D61)</f>
        <v>1064036.77</v>
      </c>
      <c r="E62" s="129">
        <f>SUM(E57:E61)</f>
        <v>47066.99</v>
      </c>
      <c r="F62" s="129">
        <f>SUM(F57:F61)</f>
        <v>31005.25</v>
      </c>
      <c r="G62" s="129">
        <f>SUM(G57:G61)</f>
        <v>19280.98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43597249.310000002</v>
      </c>
      <c r="D63" s="22">
        <f>D56+D62</f>
        <v>1064036.77</v>
      </c>
      <c r="E63" s="22">
        <f>E56+E62</f>
        <v>47066.99</v>
      </c>
      <c r="F63" s="22">
        <f>F56+F62</f>
        <v>31005.25</v>
      </c>
      <c r="G63" s="22">
        <f>G56+G62</f>
        <v>19280.98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4">
        <f>'DOE25'!F117</f>
        <v>5711993.9900000002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4">
        <f>'DOE25'!F118</f>
        <v>9448622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4">
        <f>'DOE25'!F120</f>
        <v>0</v>
      </c>
      <c r="D69" s="94">
        <f>'DOE25'!G120</f>
        <v>0</v>
      </c>
      <c r="E69" s="94">
        <f>'DOE25'!H120</f>
        <v>0</v>
      </c>
      <c r="F69" s="94">
        <f>'DOE25'!I120</f>
        <v>0</v>
      </c>
      <c r="G69" s="94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8">
        <f>SUM(C66:C69)</f>
        <v>15160615.99</v>
      </c>
      <c r="D70" s="138">
        <f>D69</f>
        <v>0</v>
      </c>
      <c r="E70" s="138">
        <f>E69</f>
        <v>0</v>
      </c>
      <c r="F70" s="138">
        <f>F69</f>
        <v>0</v>
      </c>
      <c r="G70" s="138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4">
        <f>'DOE25'!F123</f>
        <v>517214.1</v>
      </c>
      <c r="D72" s="24" t="s">
        <v>289</v>
      </c>
      <c r="E72" s="24" t="s">
        <v>289</v>
      </c>
      <c r="F72" s="94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4">
        <f>'DOE25'!F124</f>
        <v>0</v>
      </c>
      <c r="D73" s="24" t="s">
        <v>289</v>
      </c>
      <c r="E73" s="24" t="s">
        <v>289</v>
      </c>
      <c r="F73" s="94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4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4">
        <f>'DOE25'!F126</f>
        <v>867895.68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4">
        <f>SUM('DOE25'!F127:F130)</f>
        <v>248236.82</v>
      </c>
      <c r="D76" s="24" t="s">
        <v>289</v>
      </c>
      <c r="E76" s="94">
        <f>SUM('DOE25'!H127:H130)</f>
        <v>0</v>
      </c>
      <c r="F76" s="94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4">
        <f>SUM('DOE25'!F131:F135)</f>
        <v>23468.3</v>
      </c>
      <c r="D77" s="94">
        <f>SUM('DOE25'!G131:G135)</f>
        <v>13208.39</v>
      </c>
      <c r="E77" s="94">
        <f>SUM('DOE25'!H131:H135)</f>
        <v>0</v>
      </c>
      <c r="F77" s="94">
        <f>SUM('DOE25'!I131:I135)</f>
        <v>0</v>
      </c>
      <c r="G77" s="94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29">
        <f>SUM(C72:C77)</f>
        <v>1656814.9000000001</v>
      </c>
      <c r="D78" s="129">
        <f>SUM(D72:D77)</f>
        <v>13208.39</v>
      </c>
      <c r="E78" s="129">
        <f>SUM(E72:E77)</f>
        <v>0</v>
      </c>
      <c r="F78" s="129">
        <f>SUM(F72:F77)</f>
        <v>0</v>
      </c>
      <c r="G78" s="129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4">
        <f>'DOE25'!F137</f>
        <v>0</v>
      </c>
      <c r="D79" s="94">
        <f>'DOE25'!G137</f>
        <v>0</v>
      </c>
      <c r="E79" s="94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4">
        <f>'DOE25'!F138</f>
        <v>0</v>
      </c>
      <c r="D80" s="24" t="s">
        <v>289</v>
      </c>
      <c r="E80" s="94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29">
        <f>SUM(C79:C80)+C78+C70</f>
        <v>16817430.890000001</v>
      </c>
      <c r="D81" s="129">
        <f>SUM(D79:D80)+D78+D70</f>
        <v>13208.39</v>
      </c>
      <c r="E81" s="129">
        <f>SUM(E79:E80)+E78+E70</f>
        <v>0</v>
      </c>
      <c r="F81" s="129">
        <f>SUM(F79:F80)+F78+F70</f>
        <v>0</v>
      </c>
      <c r="G81" s="129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6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7" t="s">
        <v>181</v>
      </c>
      <c r="B84" s="126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4">
        <f>'DOE25'!F147</f>
        <v>0</v>
      </c>
      <c r="D85" s="94">
        <f>'DOE25'!G147</f>
        <v>0</v>
      </c>
      <c r="E85" s="94">
        <f>'DOE25'!H147</f>
        <v>0</v>
      </c>
      <c r="F85" s="94">
        <f>'DOE25'!I147</f>
        <v>3939703.6799999997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4">
        <f>SUM('DOE25'!F149:F152)</f>
        <v>51017.42</v>
      </c>
      <c r="D87" s="24" t="s">
        <v>289</v>
      </c>
      <c r="E87" s="94">
        <f>SUM('DOE25'!H149:H152)</f>
        <v>0</v>
      </c>
      <c r="F87" s="94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4">
        <f>SUM('DOE25'!F153:F161)</f>
        <v>665135.03</v>
      </c>
      <c r="D88" s="94">
        <f>SUM('DOE25'!G153:G161)</f>
        <v>315601.59999999998</v>
      </c>
      <c r="E88" s="94">
        <f>SUM('DOE25'!H153:H161)</f>
        <v>1796389.1600000001</v>
      </c>
      <c r="F88" s="94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4">
        <f>'DOE25'!F163+'DOE25'!F166+'DOE25'!F168</f>
        <v>0</v>
      </c>
      <c r="D89" s="94">
        <f>'DOE25'!G163+'DOE25'!G168</f>
        <v>0</v>
      </c>
      <c r="E89" s="94">
        <f>'DOE25'!H163+'DOE25'!H168</f>
        <v>0</v>
      </c>
      <c r="F89" s="94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4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0">
        <f>SUM(C85:C90)</f>
        <v>716152.45000000007</v>
      </c>
      <c r="D91" s="130">
        <f>SUM(D85:D90)</f>
        <v>315601.59999999998</v>
      </c>
      <c r="E91" s="130">
        <f>SUM(E85:E90)</f>
        <v>1796389.1600000001</v>
      </c>
      <c r="F91" s="130">
        <f>SUM(F85:F90)</f>
        <v>3939703.6799999997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4">
        <f>SUM('DOE25'!F173:F175)</f>
        <v>0</v>
      </c>
      <c r="D93" s="24" t="s">
        <v>289</v>
      </c>
      <c r="E93" s="24" t="s">
        <v>289</v>
      </c>
      <c r="F93" s="94">
        <f>SUM('DOE25'!I173:I175)</f>
        <v>22545562.879999999</v>
      </c>
      <c r="G93" s="24" t="s">
        <v>289</v>
      </c>
    </row>
    <row r="94" spans="1:9" x14ac:dyDescent="0.2">
      <c r="A94" t="s">
        <v>756</v>
      </c>
      <c r="B94" s="32">
        <v>5140</v>
      </c>
      <c r="C94" s="94">
        <f>'DOE25'!F176</f>
        <v>0</v>
      </c>
      <c r="D94" s="24" t="s">
        <v>289</v>
      </c>
      <c r="E94" s="24" t="s">
        <v>289</v>
      </c>
      <c r="F94" s="94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4">
        <f>'DOE25'!G179</f>
        <v>0</v>
      </c>
      <c r="E96" s="94">
        <f>'DOE25'!H179</f>
        <v>0</v>
      </c>
      <c r="F96" s="94">
        <f>'DOE25'!I179</f>
        <v>0</v>
      </c>
      <c r="G96" s="94">
        <f>'DOE25'!J179</f>
        <v>0</v>
      </c>
    </row>
    <row r="97" spans="1:7" x14ac:dyDescent="0.2">
      <c r="A97" t="s">
        <v>758</v>
      </c>
      <c r="B97" s="32" t="s">
        <v>188</v>
      </c>
      <c r="C97" s="94">
        <f>SUM('DOE25'!F180:F181)</f>
        <v>21414.52</v>
      </c>
      <c r="D97" s="94">
        <f>SUM('DOE25'!G180:G181)</f>
        <v>0</v>
      </c>
      <c r="E97" s="94">
        <f>SUM('DOE25'!H180:H181)</f>
        <v>0</v>
      </c>
      <c r="F97" s="94">
        <f>SUM('DOE25'!I180:I181)</f>
        <v>0</v>
      </c>
      <c r="G97" s="94">
        <f>SUM('DOE25'!J180:J181)</f>
        <v>0</v>
      </c>
    </row>
    <row r="98" spans="1:7" x14ac:dyDescent="0.2">
      <c r="A98" t="s">
        <v>759</v>
      </c>
      <c r="B98" s="32" t="s">
        <v>189</v>
      </c>
      <c r="C98" s="94">
        <f>'DOE25'!F182</f>
        <v>0</v>
      </c>
      <c r="D98" s="94">
        <f>'DOE25'!G182</f>
        <v>0</v>
      </c>
      <c r="E98" s="94">
        <f>'DOE25'!H182</f>
        <v>0</v>
      </c>
      <c r="F98" s="24" t="s">
        <v>289</v>
      </c>
      <c r="G98" s="94">
        <f>'DOE25'!J182</f>
        <v>0</v>
      </c>
    </row>
    <row r="99" spans="1:7" x14ac:dyDescent="0.2">
      <c r="A99" t="s">
        <v>760</v>
      </c>
      <c r="B99" s="32">
        <v>5251</v>
      </c>
      <c r="C99" s="94">
        <f>'DOE25'!F185</f>
        <v>0</v>
      </c>
      <c r="D99" s="94">
        <f>'DOE25'!G185</f>
        <v>0</v>
      </c>
      <c r="E99" s="94">
        <f>'DOE25'!H185</f>
        <v>0</v>
      </c>
      <c r="F99" s="94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4">
        <f>SUM('DOE25'!F186:F187)</f>
        <v>0</v>
      </c>
      <c r="D100" s="94">
        <f>SUM('DOE25'!G186:G187)</f>
        <v>0</v>
      </c>
      <c r="E100" s="94">
        <f>SUM('DOE25'!H186:H187)</f>
        <v>0</v>
      </c>
      <c r="F100" s="94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4">
        <f>'DOE25'!F189</f>
        <v>0</v>
      </c>
      <c r="D101" s="94">
        <f>'DOE25'!G189</f>
        <v>0</v>
      </c>
      <c r="E101" s="94">
        <f>'DOE25'!H189</f>
        <v>0</v>
      </c>
      <c r="F101" s="94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4">
        <f>SUM('DOE25'!F190:F191)</f>
        <v>0</v>
      </c>
      <c r="D102" s="94">
        <f>SUM('DOE25'!G190:G191)</f>
        <v>0</v>
      </c>
      <c r="E102" s="94">
        <f>SUM('DOE25'!H190:H191)</f>
        <v>0</v>
      </c>
      <c r="F102" s="94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5">
        <f>SUM(C93:C102)</f>
        <v>21414.52</v>
      </c>
      <c r="D103" s="85">
        <f>SUM(D93:D102)</f>
        <v>0</v>
      </c>
      <c r="E103" s="85">
        <f>SUM(E93:E102)</f>
        <v>0</v>
      </c>
      <c r="F103" s="85">
        <f>SUM(F93:F102)</f>
        <v>22545562.879999999</v>
      </c>
      <c r="G103" s="85">
        <f>SUM(G93:G102)</f>
        <v>0</v>
      </c>
    </row>
    <row r="104" spans="1:7" ht="12.75" thickTop="1" thickBot="1" x14ac:dyDescent="0.25">
      <c r="A104" s="33" t="s">
        <v>765</v>
      </c>
      <c r="C104" s="85">
        <f>C63+C81+C91+C103</f>
        <v>61152247.170000009</v>
      </c>
      <c r="D104" s="85">
        <f>D63+D81+D91+D103</f>
        <v>1392846.7599999998</v>
      </c>
      <c r="E104" s="85">
        <f>E63+E81+E91+E103</f>
        <v>1843456.1500000001</v>
      </c>
      <c r="F104" s="85">
        <f>F63+F81+F91+F103</f>
        <v>26516271.809999999</v>
      </c>
      <c r="G104" s="85">
        <f>G63+G81+G103</f>
        <v>19280.98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6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7" t="s">
        <v>195</v>
      </c>
      <c r="B108" s="126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4">
        <f>('DOE25'!L197)+('DOE25'!L215)+('DOE25'!L233)</f>
        <v>24526193.020000003</v>
      </c>
      <c r="D109" s="24" t="s">
        <v>289</v>
      </c>
      <c r="E109" s="94">
        <f>('DOE25'!L276)+('DOE25'!L295)+('DOE25'!L314)</f>
        <v>416403.23000000004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4">
        <f>('DOE25'!L198)+('DOE25'!L216)+('DOE25'!L234)</f>
        <v>9327659.6699999999</v>
      </c>
      <c r="D110" s="24" t="s">
        <v>289</v>
      </c>
      <c r="E110" s="94">
        <f>('DOE25'!L277)+('DOE25'!L296)+('DOE25'!L315)</f>
        <v>573760.54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4">
        <f>('DOE25'!L199)+('DOE25'!L217)+('DOE25'!L235)</f>
        <v>1590818.2</v>
      </c>
      <c r="D111" s="24" t="s">
        <v>289</v>
      </c>
      <c r="E111" s="94">
        <f>('DOE25'!L278)+('DOE25'!L297)+('DOE25'!L316)</f>
        <v>132790.90000000002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4">
        <f>('DOE25'!L200)+('DOE25'!L218)+('DOE25'!L236)</f>
        <v>927455.88</v>
      </c>
      <c r="D112" s="24" t="s">
        <v>289</v>
      </c>
      <c r="E112" s="94">
        <f>+('DOE25'!L279)+('DOE25'!L298)+('DOE25'!L317)</f>
        <v>346.45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4">
        <f>'DOE25'!L250</f>
        <v>0</v>
      </c>
      <c r="D113" s="24" t="s">
        <v>289</v>
      </c>
      <c r="E113" s="94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4">
        <f>SUM('DOE25'!L251:L253)</f>
        <v>218672.03000000003</v>
      </c>
      <c r="D114" s="24" t="s">
        <v>289</v>
      </c>
      <c r="E114" s="94">
        <f>+ SUM('DOE25'!L333:L335)</f>
        <v>191878.16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5">
        <f>SUM(C109:C114)</f>
        <v>36590798.800000012</v>
      </c>
      <c r="D115" s="85">
        <f>SUM(D109:D114)</f>
        <v>0</v>
      </c>
      <c r="E115" s="85">
        <f>SUM(E109:E114)</f>
        <v>1315179.2799999998</v>
      </c>
      <c r="F115" s="85">
        <f>SUM(F109:F114)</f>
        <v>0</v>
      </c>
      <c r="G115" s="85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4">
        <f>('DOE25'!L202)+('DOE25'!L220)+('DOE25'!L238)</f>
        <v>4559289.4400000004</v>
      </c>
      <c r="D118" s="24" t="s">
        <v>289</v>
      </c>
      <c r="E118" s="94">
        <f>+('DOE25'!L281)+('DOE25'!L300)+('DOE25'!L319)</f>
        <v>196163.78999999998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4">
        <f>('DOE25'!L203)+('DOE25'!L221)+('DOE25'!L239)</f>
        <v>2113572.37</v>
      </c>
      <c r="D119" s="24" t="s">
        <v>289</v>
      </c>
      <c r="E119" s="94">
        <f>+('DOE25'!L282)+('DOE25'!L301)+('DOE25'!L320)</f>
        <v>275174.81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4">
        <f>('DOE25'!L204)+('DOE25'!L222)+('DOE25'!L240)</f>
        <v>958918.76</v>
      </c>
      <c r="D120" s="24" t="s">
        <v>289</v>
      </c>
      <c r="E120" s="94">
        <f>+('DOE25'!L283)+('DOE25'!L302)+('DOE25'!L321)</f>
        <v>1370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4">
        <f>('DOE25'!L205)+('DOE25'!L223)+('DOE25'!L241)</f>
        <v>2838182.64</v>
      </c>
      <c r="D121" s="24" t="s">
        <v>289</v>
      </c>
      <c r="E121" s="94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4">
        <f>('DOE25'!L206)+('DOE25'!L224)+('DOE25'!L242)</f>
        <v>525018.29</v>
      </c>
      <c r="D122" s="24" t="s">
        <v>289</v>
      </c>
      <c r="E122" s="94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4">
        <f>('DOE25'!L207)+('DOE25'!L225)+('DOE25'!L243)</f>
        <v>4316391.3800000008</v>
      </c>
      <c r="D123" s="24" t="s">
        <v>289</v>
      </c>
      <c r="E123" s="94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4">
        <f>('DOE25'!L208)+('DOE25'!L226)+('DOE25'!L244+'DOE25'!L254)</f>
        <v>2817944.83</v>
      </c>
      <c r="D124" s="24" t="s">
        <v>289</v>
      </c>
      <c r="E124" s="94">
        <f>+('DOE25'!L287)+('DOE25'!L306)+('DOE25'!L325)</f>
        <v>5257.75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4">
        <f>('DOE25'!L209)+('DOE25'!L227)+('DOE25'!L245)</f>
        <v>433290.74</v>
      </c>
      <c r="D125" s="24" t="s">
        <v>289</v>
      </c>
      <c r="E125" s="94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4">
        <f>('DOE25'!L358)+('DOE25'!L359)+('DOE25'!L360)</f>
        <v>1459863.64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5">
        <f>SUM(C118:C127)</f>
        <v>18562608.449999999</v>
      </c>
      <c r="D128" s="85">
        <f>SUM(D118:D127)</f>
        <v>1459863.64</v>
      </c>
      <c r="E128" s="85">
        <f>SUM(E118:E127)</f>
        <v>477966.35</v>
      </c>
      <c r="F128" s="85">
        <f>SUM(F118:F127)</f>
        <v>0</v>
      </c>
      <c r="G128" s="85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4">
        <f>'DOE25'!L255</f>
        <v>231061.46</v>
      </c>
      <c r="D130" s="24" t="s">
        <v>289</v>
      </c>
      <c r="E130" s="128">
        <f>'DOE25'!L336</f>
        <v>0</v>
      </c>
      <c r="F130" s="128">
        <f>SUM('DOE25'!L374:'DOE25'!L380)</f>
        <v>21456786.669999998</v>
      </c>
      <c r="G130" s="24" t="s">
        <v>289</v>
      </c>
    </row>
    <row r="131" spans="1:7" x14ac:dyDescent="0.2">
      <c r="A131" t="s">
        <v>229</v>
      </c>
      <c r="B131" s="32">
        <v>5110</v>
      </c>
      <c r="C131" s="94">
        <f>'DOE25'!L260</f>
        <v>3360000</v>
      </c>
      <c r="D131" s="24" t="s">
        <v>289</v>
      </c>
      <c r="E131" s="128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4">
        <f>'DOE25'!L261</f>
        <v>2197995.12</v>
      </c>
      <c r="D132" s="24" t="s">
        <v>289</v>
      </c>
      <c r="E132" s="128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4">
        <f>'DOE25'!K361</f>
        <v>0</v>
      </c>
      <c r="E134" s="94">
        <f>'DOE25'!L344</f>
        <v>21414.52</v>
      </c>
      <c r="F134" s="94">
        <f>'DOE25'!K381</f>
        <v>0</v>
      </c>
      <c r="G134" s="94">
        <f>'DOE25'!K434</f>
        <v>0</v>
      </c>
    </row>
    <row r="135" spans="1:7" x14ac:dyDescent="0.2">
      <c r="A135" t="s">
        <v>233</v>
      </c>
      <c r="B135" s="32" t="s">
        <v>234</v>
      </c>
      <c r="C135" s="94">
        <f>'DOE25'!L263</f>
        <v>0</v>
      </c>
      <c r="D135" s="24" t="s">
        <v>289</v>
      </c>
      <c r="E135" s="128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4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4">
        <f>'DOE25'!L265</f>
        <v>0</v>
      </c>
      <c r="D137" s="24" t="s">
        <v>289</v>
      </c>
      <c r="E137" s="128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4">
        <f>'DOE25'!L393</f>
        <v>2.94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4">
        <f>'DOE25'!L401</f>
        <v>19278.04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4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4">
        <f>('DOE25'!L266+'DOE25'!K347) - (C138+C139+C140)</f>
        <v>-19280.98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8">
        <f>'DOE25'!L268</f>
        <v>0</v>
      </c>
      <c r="D142" s="24" t="s">
        <v>289</v>
      </c>
      <c r="E142" s="128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8">
        <f>'DOE25'!L269</f>
        <v>0</v>
      </c>
      <c r="D143" s="24" t="s">
        <v>289</v>
      </c>
      <c r="E143" s="128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0">
        <f>SUM(C130:C143)</f>
        <v>5789056.5800000001</v>
      </c>
      <c r="D144" s="140">
        <f>SUM(D130:D143)</f>
        <v>0</v>
      </c>
      <c r="E144" s="140">
        <f>SUM(E130:E143)</f>
        <v>21414.52</v>
      </c>
      <c r="F144" s="140">
        <f>SUM(F130:F143)</f>
        <v>21456786.669999998</v>
      </c>
      <c r="G144" s="140">
        <f>SUM(G130:G143)</f>
        <v>0</v>
      </c>
    </row>
    <row r="145" spans="1:9" ht="12.75" thickTop="1" thickBot="1" x14ac:dyDescent="0.25">
      <c r="A145" s="33" t="s">
        <v>244</v>
      </c>
      <c r="C145" s="85">
        <f>(C115+C128+C144)</f>
        <v>60942463.830000013</v>
      </c>
      <c r="D145" s="85">
        <f>(D115+D128+D144)</f>
        <v>1459863.64</v>
      </c>
      <c r="E145" s="85">
        <f>(E115+E128+E144)</f>
        <v>1814560.15</v>
      </c>
      <c r="F145" s="85">
        <f>(F115+F128+F144)</f>
        <v>21456786.669999998</v>
      </c>
      <c r="G145" s="85">
        <f>(G115+G128+G144)</f>
        <v>0</v>
      </c>
    </row>
    <row r="146" spans="1:9" ht="12" thickTop="1" x14ac:dyDescent="0.2">
      <c r="A146" s="33"/>
    </row>
    <row r="148" spans="1:9" x14ac:dyDescent="0.2">
      <c r="A148" s="134" t="s">
        <v>245</v>
      </c>
      <c r="B148" s="131"/>
      <c r="C148" s="114"/>
      <c r="D148" s="115"/>
      <c r="E148" s="115"/>
      <c r="F148" s="115"/>
      <c r="G148" s="115"/>
    </row>
    <row r="149" spans="1:9" x14ac:dyDescent="0.2">
      <c r="A149" s="135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5"/>
      <c r="I149" s="115"/>
    </row>
    <row r="150" spans="1:9" x14ac:dyDescent="0.2">
      <c r="A150" s="134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5" t="s">
        <v>27</v>
      </c>
      <c r="B151" s="152">
        <f>'DOE25'!F490</f>
        <v>16</v>
      </c>
      <c r="C151" s="152">
        <f>'DOE25'!G490</f>
        <v>16</v>
      </c>
      <c r="D151" s="152">
        <f>'DOE25'!H490</f>
        <v>20</v>
      </c>
      <c r="E151" s="152">
        <f>'DOE25'!I490</f>
        <v>20</v>
      </c>
      <c r="F151" s="152">
        <f>'DOE25'!J490</f>
        <v>20</v>
      </c>
      <c r="G151" s="24" t="s">
        <v>289</v>
      </c>
    </row>
    <row r="152" spans="1:9" x14ac:dyDescent="0.2">
      <c r="A152" s="135" t="s">
        <v>28</v>
      </c>
      <c r="B152" s="151">
        <f>'DOE25'!F491</f>
        <v>0</v>
      </c>
      <c r="C152" s="151">
        <f>'DOE25'!G491</f>
        <v>0</v>
      </c>
      <c r="D152" s="151">
        <f>'DOE25'!H491</f>
        <v>0</v>
      </c>
      <c r="E152" s="151">
        <f>'DOE25'!I491</f>
        <v>0</v>
      </c>
      <c r="F152" s="151">
        <f>'DOE25'!J491</f>
        <v>0</v>
      </c>
      <c r="G152" s="24" t="s">
        <v>289</v>
      </c>
    </row>
    <row r="153" spans="1:9" x14ac:dyDescent="0.2">
      <c r="A153" s="135" t="s">
        <v>29</v>
      </c>
      <c r="B153" s="151">
        <f>'DOE25'!F492</f>
        <v>0</v>
      </c>
      <c r="C153" s="151">
        <f>'DOE25'!G492</f>
        <v>0</v>
      </c>
      <c r="D153" s="151">
        <f>'DOE25'!H492</f>
        <v>0</v>
      </c>
      <c r="E153" s="151">
        <f>'DOE25'!I492</f>
        <v>0</v>
      </c>
      <c r="F153" s="151">
        <f>'DOE25'!J492</f>
        <v>0</v>
      </c>
      <c r="G153" s="24" t="s">
        <v>289</v>
      </c>
    </row>
    <row r="154" spans="1:9" x14ac:dyDescent="0.2">
      <c r="A154" s="135" t="s">
        <v>30</v>
      </c>
      <c r="B154" s="136">
        <f>'DOE25'!F493</f>
        <v>14506160</v>
      </c>
      <c r="C154" s="136">
        <f>'DOE25'!G493</f>
        <v>7493840</v>
      </c>
      <c r="D154" s="136">
        <f>'DOE25'!H493</f>
        <v>16205153</v>
      </c>
      <c r="E154" s="136">
        <f>'DOE25'!I493</f>
        <v>21817560</v>
      </c>
      <c r="F154" s="136">
        <f>'DOE25'!J493</f>
        <v>21323000</v>
      </c>
      <c r="G154" s="24" t="s">
        <v>289</v>
      </c>
    </row>
    <row r="155" spans="1:9" x14ac:dyDescent="0.2">
      <c r="A155" s="135" t="s">
        <v>31</v>
      </c>
      <c r="B155" s="136">
        <f>'DOE25'!F494</f>
        <v>0</v>
      </c>
      <c r="C155" s="136">
        <f>'DOE25'!G494</f>
        <v>3.51</v>
      </c>
      <c r="D155" s="136">
        <f>'DOE25'!H494</f>
        <v>3.58</v>
      </c>
      <c r="E155" s="136">
        <f>'DOE25'!I494</f>
        <v>3.21</v>
      </c>
      <c r="F155" s="136">
        <f>'DOE25'!J494</f>
        <v>2.91</v>
      </c>
      <c r="G155" s="24" t="s">
        <v>289</v>
      </c>
    </row>
    <row r="156" spans="1:9" x14ac:dyDescent="0.2">
      <c r="A156" s="22" t="s">
        <v>32</v>
      </c>
      <c r="B156" s="136">
        <f>'DOE25'!F495</f>
        <v>10865000</v>
      </c>
      <c r="C156" s="136">
        <f>'DOE25'!G495</f>
        <v>7493840</v>
      </c>
      <c r="D156" s="136">
        <f>'DOE25'!H495</f>
        <v>13695000</v>
      </c>
      <c r="E156" s="136">
        <f>'DOE25'!I495</f>
        <v>20000000</v>
      </c>
      <c r="F156" s="136">
        <f>'DOE25'!J495</f>
        <v>21323000</v>
      </c>
      <c r="G156" s="137">
        <f>SUM(B156:F156)</f>
        <v>73376840</v>
      </c>
    </row>
    <row r="157" spans="1:9" x14ac:dyDescent="0.2">
      <c r="A157" s="22" t="s">
        <v>33</v>
      </c>
      <c r="B157" s="136">
        <f>'DOE25'!F496</f>
        <v>0</v>
      </c>
      <c r="C157" s="136">
        <f>'DOE25'!G496</f>
        <v>0</v>
      </c>
      <c r="D157" s="136">
        <f>'DOE25'!H496</f>
        <v>0</v>
      </c>
      <c r="E157" s="136">
        <f>'DOE25'!I496</f>
        <v>0</v>
      </c>
      <c r="F157" s="136">
        <f>'DOE25'!J496</f>
        <v>0</v>
      </c>
      <c r="G157" s="137">
        <f t="shared" ref="G157:G164" si="0">SUM(B157:F157)</f>
        <v>0</v>
      </c>
    </row>
    <row r="158" spans="1:9" x14ac:dyDescent="0.2">
      <c r="A158" s="22" t="s">
        <v>34</v>
      </c>
      <c r="B158" s="136">
        <f>'DOE25'!F497</f>
        <v>910000</v>
      </c>
      <c r="C158" s="136">
        <f>'DOE25'!G497</f>
        <v>440000</v>
      </c>
      <c r="D158" s="136">
        <f>'DOE25'!H497</f>
        <v>725000</v>
      </c>
      <c r="E158" s="136">
        <f>'DOE25'!I497</f>
        <v>1000000</v>
      </c>
      <c r="F158" s="136">
        <f>'DOE25'!J497</f>
        <v>0</v>
      </c>
      <c r="G158" s="137">
        <f t="shared" si="0"/>
        <v>3075000</v>
      </c>
    </row>
    <row r="159" spans="1:9" x14ac:dyDescent="0.2">
      <c r="A159" s="22" t="s">
        <v>35</v>
      </c>
      <c r="B159" s="136">
        <f>'DOE25'!F498</f>
        <v>9955000</v>
      </c>
      <c r="C159" s="136">
        <f>'DOE25'!G498</f>
        <v>4790000</v>
      </c>
      <c r="D159" s="136">
        <f>'DOE25'!H498</f>
        <v>12970000</v>
      </c>
      <c r="E159" s="136">
        <f>'DOE25'!I498</f>
        <v>19000000</v>
      </c>
      <c r="F159" s="136">
        <f>'DOE25'!J498</f>
        <v>21323000</v>
      </c>
      <c r="G159" s="137">
        <f t="shared" si="0"/>
        <v>68038000</v>
      </c>
    </row>
    <row r="160" spans="1:9" x14ac:dyDescent="0.2">
      <c r="A160" s="22" t="s">
        <v>36</v>
      </c>
      <c r="B160" s="136">
        <f>'DOE25'!F499</f>
        <v>2951159.75</v>
      </c>
      <c r="C160" s="136">
        <f>'DOE25'!G499</f>
        <v>1278431.25</v>
      </c>
      <c r="D160" s="136">
        <f>'DOE25'!H499</f>
        <v>5879000</v>
      </c>
      <c r="E160" s="136">
        <f>'DOE25'!I499</f>
        <v>7054375</v>
      </c>
      <c r="F160" s="136">
        <f>'DOE25'!J499</f>
        <v>7551693.75</v>
      </c>
      <c r="G160" s="137">
        <f t="shared" si="0"/>
        <v>24714659.75</v>
      </c>
    </row>
    <row r="161" spans="1:7" x14ac:dyDescent="0.2">
      <c r="A161" s="22" t="s">
        <v>37</v>
      </c>
      <c r="B161" s="136">
        <f>'DOE25'!F500</f>
        <v>12906159.75</v>
      </c>
      <c r="C161" s="136">
        <f>'DOE25'!G500</f>
        <v>6068431.25</v>
      </c>
      <c r="D161" s="136">
        <f>'DOE25'!H500</f>
        <v>18849000</v>
      </c>
      <c r="E161" s="136">
        <f>'DOE25'!I500</f>
        <v>26054375</v>
      </c>
      <c r="F161" s="136">
        <f>'DOE25'!J500</f>
        <v>28874693.75</v>
      </c>
      <c r="G161" s="137">
        <f t="shared" si="0"/>
        <v>92752659.75</v>
      </c>
    </row>
    <row r="162" spans="1:7" x14ac:dyDescent="0.2">
      <c r="A162" s="22" t="s">
        <v>38</v>
      </c>
      <c r="B162" s="136">
        <f>'DOE25'!F501</f>
        <v>905000</v>
      </c>
      <c r="C162" s="136">
        <f>'DOE25'!G501</f>
        <v>440000</v>
      </c>
      <c r="D162" s="136">
        <f>'DOE25'!H501</f>
        <v>725000</v>
      </c>
      <c r="E162" s="136">
        <f>'DOE25'!I501</f>
        <v>1000000</v>
      </c>
      <c r="F162" s="136">
        <f>'DOE25'!J501</f>
        <v>1068000</v>
      </c>
      <c r="G162" s="137">
        <f t="shared" si="0"/>
        <v>4138000</v>
      </c>
    </row>
    <row r="163" spans="1:7" x14ac:dyDescent="0.2">
      <c r="A163" s="22" t="s">
        <v>39</v>
      </c>
      <c r="B163" s="136">
        <f>'DOE25'!F502</f>
        <v>512184.75</v>
      </c>
      <c r="C163" s="136">
        <f>'DOE25'!G502</f>
        <v>214312.5</v>
      </c>
      <c r="D163" s="136">
        <f>'DOE25'!H502</f>
        <v>644820</v>
      </c>
      <c r="E163" s="136">
        <f>'DOE25'!I502</f>
        <v>791250</v>
      </c>
      <c r="F163" s="136">
        <f>'DOE25'!J502</f>
        <v>778225</v>
      </c>
      <c r="G163" s="137">
        <f t="shared" si="0"/>
        <v>2940792.25</v>
      </c>
    </row>
    <row r="164" spans="1:7" x14ac:dyDescent="0.2">
      <c r="A164" s="22" t="s">
        <v>246</v>
      </c>
      <c r="B164" s="136">
        <f>'DOE25'!F503</f>
        <v>1417184.75</v>
      </c>
      <c r="C164" s="136">
        <f>'DOE25'!G503</f>
        <v>654312.5</v>
      </c>
      <c r="D164" s="136">
        <f>'DOE25'!H503</f>
        <v>1369820</v>
      </c>
      <c r="E164" s="136">
        <f>'DOE25'!I503</f>
        <v>1791250</v>
      </c>
      <c r="F164" s="136">
        <f>'DOE25'!J503</f>
        <v>1846225</v>
      </c>
      <c r="G164" s="137">
        <f t="shared" si="0"/>
        <v>7078792.25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7" workbookViewId="0">
      <selection activeCell="C29" sqref="C29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6" t="s">
        <v>717</v>
      </c>
      <c r="B2" s="185" t="str">
        <f>'DOE25'!A2</f>
        <v>SAU 57 - Salem</v>
      </c>
    </row>
    <row r="3" spans="1:4" x14ac:dyDescent="0.2">
      <c r="B3" s="187" t="s">
        <v>902</v>
      </c>
    </row>
    <row r="4" spans="1:4" x14ac:dyDescent="0.2">
      <c r="B4" t="s">
        <v>61</v>
      </c>
      <c r="C4" s="178">
        <f>IF('DOE25'!F665+'DOE25'!F670=0,0,ROUND('DOE25'!F672,0))</f>
        <v>14634</v>
      </c>
    </row>
    <row r="5" spans="1:4" x14ac:dyDescent="0.2">
      <c r="B5" t="s">
        <v>704</v>
      </c>
      <c r="C5" s="178">
        <f>IF('DOE25'!G665+'DOE25'!G670=0,0,ROUND('DOE25'!G672,0))</f>
        <v>12398</v>
      </c>
    </row>
    <row r="6" spans="1:4" x14ac:dyDescent="0.2">
      <c r="B6" t="s">
        <v>62</v>
      </c>
      <c r="C6" s="178">
        <f>IF('DOE25'!H665+'DOE25'!H670=0,0,ROUND('DOE25'!H672,0))</f>
        <v>15946</v>
      </c>
    </row>
    <row r="7" spans="1:4" x14ac:dyDescent="0.2">
      <c r="B7" t="s">
        <v>705</v>
      </c>
      <c r="C7" s="178">
        <f>IF('DOE25'!I665+'DOE25'!I670=0,0,ROUND('DOE25'!I672,0))</f>
        <v>14525</v>
      </c>
    </row>
    <row r="9" spans="1:4" x14ac:dyDescent="0.2">
      <c r="A9" s="186" t="s">
        <v>94</v>
      </c>
      <c r="B9" s="187" t="s">
        <v>903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ROUND('DOE25'!L197+'DOE25'!L215+'DOE25'!L233+'DOE25'!L276+'DOE25'!L295+'DOE25'!L314,0)</f>
        <v>24942596</v>
      </c>
      <c r="D10" s="181">
        <f>ROUND((C10/$C$28)*100,1)</f>
        <v>41.9</v>
      </c>
    </row>
    <row r="11" spans="1:4" x14ac:dyDescent="0.2">
      <c r="A11">
        <v>1200</v>
      </c>
      <c r="B11" t="s">
        <v>707</v>
      </c>
      <c r="C11" s="178">
        <f>ROUND('DOE25'!L198+'DOE25'!L216+'DOE25'!L234+'DOE25'!L277+'DOE25'!L296+'DOE25'!L315,0)</f>
        <v>9901420</v>
      </c>
      <c r="D11" s="181">
        <f>ROUND((C11/$C$28)*100,1)</f>
        <v>16.600000000000001</v>
      </c>
    </row>
    <row r="12" spans="1:4" x14ac:dyDescent="0.2">
      <c r="A12">
        <v>1300</v>
      </c>
      <c r="B12" t="s">
        <v>708</v>
      </c>
      <c r="C12" s="178">
        <f>ROUND('DOE25'!L199+'DOE25'!L217+'DOE25'!L235+'DOE25'!L278+'DOE25'!L297+'DOE25'!L316,0)</f>
        <v>1723609</v>
      </c>
      <c r="D12" s="181">
        <f>ROUND((C12/$C$28)*100,1)</f>
        <v>2.9</v>
      </c>
    </row>
    <row r="13" spans="1:4" x14ac:dyDescent="0.2">
      <c r="A13">
        <v>1400</v>
      </c>
      <c r="B13" t="s">
        <v>709</v>
      </c>
      <c r="C13" s="178">
        <f>ROUND('DOE25'!L200+'DOE25'!L218+'DOE25'!L236+'DOE25'!L279+'DOE25'!L298+'DOE25'!L317,0)</f>
        <v>927802</v>
      </c>
      <c r="D13" s="181">
        <f>ROUND((C13/$C$28)*100,1)</f>
        <v>1.6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ROUND('DOE25'!L202+'DOE25'!L220+'DOE25'!L238+'DOE25'!L281+'DOE25'!L300+'DOE25'!L319,0)</f>
        <v>4755453</v>
      </c>
      <c r="D15" s="181">
        <f t="shared" ref="D15:D27" si="0">ROUND((C15/$C$28)*100,1)</f>
        <v>8</v>
      </c>
    </row>
    <row r="16" spans="1:4" x14ac:dyDescent="0.2">
      <c r="A16">
        <v>2200</v>
      </c>
      <c r="B16" t="s">
        <v>711</v>
      </c>
      <c r="C16" s="178">
        <f>ROUND('DOE25'!L203+'DOE25'!L221+'DOE25'!L239+'DOE25'!L282+'DOE25'!L301+'DOE25'!L320,0)</f>
        <v>2388747</v>
      </c>
      <c r="D16" s="181">
        <f t="shared" si="0"/>
        <v>4</v>
      </c>
    </row>
    <row r="17" spans="1:4" x14ac:dyDescent="0.2">
      <c r="A17" s="182" t="s">
        <v>727</v>
      </c>
      <c r="B17" t="s">
        <v>742</v>
      </c>
      <c r="C17" s="178">
        <f>ROUND('DOE25'!L204+'DOE25'!L209+'DOE25'!L222+'DOE25'!L227+'DOE25'!L240+'DOE25'!L245+'DOE25'!L283+'DOE25'!L288+'DOE25'!L302+'DOE25'!L307+'DOE25'!L321+'DOE25'!L326,0)</f>
        <v>1393580</v>
      </c>
      <c r="D17" s="181">
        <f t="shared" si="0"/>
        <v>2.2999999999999998</v>
      </c>
    </row>
    <row r="18" spans="1:4" x14ac:dyDescent="0.2">
      <c r="A18">
        <v>2400</v>
      </c>
      <c r="B18" t="s">
        <v>715</v>
      </c>
      <c r="C18" s="178">
        <f>ROUND('DOE25'!L205+'DOE25'!L223+'DOE25'!L241+'DOE25'!L284+'DOE25'!L303+'DOE25'!L322,0)</f>
        <v>2838183</v>
      </c>
      <c r="D18" s="181">
        <f t="shared" si="0"/>
        <v>4.8</v>
      </c>
    </row>
    <row r="19" spans="1:4" x14ac:dyDescent="0.2">
      <c r="A19">
        <v>2500</v>
      </c>
      <c r="B19" t="s">
        <v>712</v>
      </c>
      <c r="C19" s="178">
        <f>ROUND('DOE25'!L206+'DOE25'!L224+'DOE25'!L242+'DOE25'!L285+'DOE25'!L304+'DOE25'!L323,0)</f>
        <v>525018</v>
      </c>
      <c r="D19" s="181">
        <f t="shared" si="0"/>
        <v>0.9</v>
      </c>
    </row>
    <row r="20" spans="1:4" x14ac:dyDescent="0.2">
      <c r="A20">
        <v>2600</v>
      </c>
      <c r="B20" t="s">
        <v>713</v>
      </c>
      <c r="C20" s="178">
        <f>ROUND('DOE25'!L207+'DOE25'!L225+'DOE25'!L243+'DOE25'!L286+'DOE25'!L305+'DOE25'!L324,0)</f>
        <v>4316391</v>
      </c>
      <c r="D20" s="181">
        <f t="shared" si="0"/>
        <v>7.2</v>
      </c>
    </row>
    <row r="21" spans="1:4" x14ac:dyDescent="0.2">
      <c r="A21">
        <v>2700</v>
      </c>
      <c r="B21" t="s">
        <v>714</v>
      </c>
      <c r="C21" s="178">
        <f>ROUND('DOE25'!L208+'DOE25'!L226+'DOE25'!L244+'DOE25'!L287+'DOE25'!L306+'DOE25'!L325,0)</f>
        <v>2823203</v>
      </c>
      <c r="D21" s="181">
        <f t="shared" si="0"/>
        <v>4.7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ROUND('DOE25'!L250+'DOE25'!L332,0)</f>
        <v>0</v>
      </c>
      <c r="D23" s="181">
        <f t="shared" si="0"/>
        <v>0</v>
      </c>
    </row>
    <row r="24" spans="1:4" x14ac:dyDescent="0.2">
      <c r="A24" s="182" t="s">
        <v>726</v>
      </c>
      <c r="B24" t="s">
        <v>719</v>
      </c>
      <c r="C24" s="178">
        <f>ROUND('DOE25'!L251+'DOE25'!L252+'DOE25'!L253+'DOE25'!L254+'DOE25'!L333+'DOE25'!L334+'DOE25'!L335,0)</f>
        <v>410550</v>
      </c>
      <c r="D24" s="181">
        <f t="shared" si="0"/>
        <v>0.7</v>
      </c>
    </row>
    <row r="25" spans="1:4" x14ac:dyDescent="0.2">
      <c r="A25">
        <v>5120</v>
      </c>
      <c r="B25" t="s">
        <v>720</v>
      </c>
      <c r="C25" s="178">
        <f>ROUND('DOE25'!L261+'DOE25'!L342,0)</f>
        <v>2197995</v>
      </c>
      <c r="D25" s="181">
        <f t="shared" si="0"/>
        <v>3.7</v>
      </c>
    </row>
    <row r="26" spans="1:4" x14ac:dyDescent="0.2">
      <c r="A26" s="182" t="s">
        <v>721</v>
      </c>
      <c r="B26" t="s">
        <v>722</v>
      </c>
      <c r="C26" s="178">
        <f>'DOE25'!L268+'DOE25'!L269+'DOE25'!L349+'DOE25'!L350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ROUND('DOE25'!L362-'DOE25'!L361,0)-SUM('DOE25'!G97:G110)</f>
        <v>395827.23</v>
      </c>
      <c r="D27" s="181">
        <f t="shared" si="0"/>
        <v>0.7</v>
      </c>
    </row>
    <row r="28" spans="1:4" x14ac:dyDescent="0.2">
      <c r="B28" s="186" t="s">
        <v>723</v>
      </c>
      <c r="C28" s="179">
        <f>SUM(C10:C27)</f>
        <v>59540374.229999997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ROUND('DOE25'!L255+'DOE25'!L336+'DOE25'!L374+'DOE25'!L375+'DOE25'!L376+'DOE25'!L377+'DOE25'!L378+'DOE25'!L379+'DOE25'!L380,0)</f>
        <v>21687848</v>
      </c>
    </row>
    <row r="30" spans="1:4" x14ac:dyDescent="0.2">
      <c r="B30" s="186" t="s">
        <v>729</v>
      </c>
      <c r="C30" s="179">
        <f>SUM(C28:C29)</f>
        <v>81228222.229999989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ROUND('DOE25'!L260+'DOE25'!L341,0)</f>
        <v>3360000</v>
      </c>
    </row>
    <row r="34" spans="1:4" x14ac:dyDescent="0.2">
      <c r="A34" s="186" t="s">
        <v>94</v>
      </c>
      <c r="B34" s="187" t="s">
        <v>904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ROUND('DOE25'!F60+'DOE25'!G60+'DOE25'!H60+'DOE25'!I60+'DOE25'!J60,0)</f>
        <v>42042634</v>
      </c>
      <c r="D35" s="181">
        <f t="shared" ref="D35:D40" si="1">ROUND((C35/$C$41)*100,1)</f>
        <v>62.5</v>
      </c>
    </row>
    <row r="36" spans="1:4" x14ac:dyDescent="0.2">
      <c r="B36" s="184" t="s">
        <v>743</v>
      </c>
      <c r="C36" s="178">
        <f>SUM('DOE25'!F112:J112)-SUM('DOE25'!G97:G110)+('DOE25'!F174+'DOE25'!F175+'DOE25'!I174+'DOE25'!I175)-C35</f>
        <v>1651968.5300000012</v>
      </c>
      <c r="D36" s="181">
        <f t="shared" si="1"/>
        <v>2.5</v>
      </c>
    </row>
    <row r="37" spans="1:4" x14ac:dyDescent="0.2">
      <c r="A37" s="182" t="s">
        <v>851</v>
      </c>
      <c r="B37" s="184" t="s">
        <v>732</v>
      </c>
      <c r="C37" s="178">
        <f>ROUND('DOE25'!F117+'DOE25'!F118,0)</f>
        <v>15160616</v>
      </c>
      <c r="D37" s="181">
        <f t="shared" si="1"/>
        <v>22.5</v>
      </c>
    </row>
    <row r="38" spans="1:4" x14ac:dyDescent="0.2">
      <c r="A38" s="182" t="s">
        <v>738</v>
      </c>
      <c r="B38" s="184" t="s">
        <v>733</v>
      </c>
      <c r="C38" s="178">
        <f>ROUND(SUM('DOE25'!F140:J140)-SUM('DOE25'!F117:F119),0)</f>
        <v>1670023</v>
      </c>
      <c r="D38" s="181">
        <f t="shared" si="1"/>
        <v>2.5</v>
      </c>
    </row>
    <row r="39" spans="1:4" x14ac:dyDescent="0.2">
      <c r="A39">
        <v>4000</v>
      </c>
      <c r="B39" s="184" t="s">
        <v>734</v>
      </c>
      <c r="C39" s="178">
        <f>ROUND('DOE25'!F169+'DOE25'!G169+'DOE25'!H169+'DOE25'!I169,0)</f>
        <v>6767847</v>
      </c>
      <c r="D39" s="181">
        <f t="shared" si="1"/>
        <v>10.1</v>
      </c>
    </row>
    <row r="40" spans="1:4" x14ac:dyDescent="0.2">
      <c r="A40" s="182" t="s">
        <v>739</v>
      </c>
      <c r="B40" s="184" t="s">
        <v>735</v>
      </c>
      <c r="C40" s="178">
        <f>ROUND(SUM('DOE25'!F189:F191)+SUM('DOE25'!G189:G191)+SUM('DOE25'!H189:H191)+SUM('DOE25'!I189:I191),0)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67293088.530000001</v>
      </c>
      <c r="D41" s="183">
        <f>SUM(D35:D40)</f>
        <v>100.1</v>
      </c>
    </row>
    <row r="42" spans="1:4" x14ac:dyDescent="0.2">
      <c r="A42" s="182" t="s">
        <v>741</v>
      </c>
      <c r="B42" s="184" t="s">
        <v>737</v>
      </c>
      <c r="C42" s="178">
        <f>ROUND('DOE25'!F173+'DOE25'!I173+'DOE25'!F176+'DOE25'!I176,0)</f>
        <v>22545563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770</v>
      </c>
      <c r="B1" s="296"/>
      <c r="C1" s="296"/>
      <c r="D1" s="296"/>
      <c r="E1" s="296"/>
      <c r="F1" s="296"/>
      <c r="G1" s="296"/>
      <c r="H1" s="296"/>
      <c r="I1" s="296"/>
      <c r="J1" s="212"/>
      <c r="K1" s="212"/>
      <c r="L1" s="212"/>
      <c r="M1" s="213"/>
    </row>
    <row r="2" spans="1:26" ht="12.75" x14ac:dyDescent="0.2">
      <c r="A2" s="301" t="s">
        <v>767</v>
      </c>
      <c r="B2" s="302"/>
      <c r="C2" s="302"/>
      <c r="D2" s="302"/>
      <c r="E2" s="302"/>
      <c r="F2" s="299" t="str">
        <f>'DOE25'!A2</f>
        <v>SAU 57 - Salem</v>
      </c>
      <c r="G2" s="300"/>
      <c r="H2" s="300"/>
      <c r="I2" s="300"/>
      <c r="J2" s="52"/>
      <c r="K2" s="52"/>
      <c r="L2" s="52"/>
      <c r="M2" s="214"/>
    </row>
    <row r="3" spans="1:26" x14ac:dyDescent="0.2">
      <c r="A3" s="215" t="s">
        <v>768</v>
      </c>
      <c r="B3" s="216" t="s">
        <v>769</v>
      </c>
      <c r="C3" s="297" t="s">
        <v>771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17"/>
      <c r="B4" s="218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x14ac:dyDescent="0.2">
      <c r="A5" s="217"/>
      <c r="B5" s="218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">
      <c r="A6" s="217"/>
      <c r="B6" s="218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6" x14ac:dyDescent="0.2">
      <c r="A7" s="217"/>
      <c r="B7" s="218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6" x14ac:dyDescent="0.2">
      <c r="A8" s="217"/>
      <c r="B8" s="218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x14ac:dyDescent="0.2">
      <c r="A9" s="217"/>
      <c r="B9" s="218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spans="1:26" x14ac:dyDescent="0.2">
      <c r="A10" s="217"/>
      <c r="B10" s="218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">
      <c r="A11" s="217"/>
      <c r="B11" s="218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x14ac:dyDescent="0.2">
      <c r="A12" s="217"/>
      <c r="B12" s="218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x14ac:dyDescent="0.2">
      <c r="A13" s="217"/>
      <c r="B13" s="218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x14ac:dyDescent="0.2">
      <c r="A14" s="217"/>
      <c r="B14" s="218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x14ac:dyDescent="0.2">
      <c r="A15" s="217"/>
      <c r="B15" s="218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x14ac:dyDescent="0.2">
      <c r="A16" s="217"/>
      <c r="B16" s="218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56" x14ac:dyDescent="0.2">
      <c r="A17" s="217"/>
      <c r="B17" s="218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56" x14ac:dyDescent="0.2">
      <c r="A18" s="217"/>
      <c r="B18" s="218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56" x14ac:dyDescent="0.2">
      <c r="A19" s="217"/>
      <c r="B19" s="218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56" x14ac:dyDescent="0.2">
      <c r="A20" s="217"/>
      <c r="B20" s="218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56" x14ac:dyDescent="0.2">
      <c r="A21" s="217"/>
      <c r="B21" s="218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56" x14ac:dyDescent="0.2">
      <c r="A22" s="217"/>
      <c r="B22" s="218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56" x14ac:dyDescent="0.2">
      <c r="A23" s="217"/>
      <c r="B23" s="218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56" x14ac:dyDescent="0.2">
      <c r="A24" s="217"/>
      <c r="B24" s="218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56" x14ac:dyDescent="0.2">
      <c r="A25" s="217"/>
      <c r="B25" s="218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56" x14ac:dyDescent="0.2">
      <c r="A26" s="217"/>
      <c r="B26" s="218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56" x14ac:dyDescent="0.2">
      <c r="A27" s="217"/>
      <c r="B27" s="218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56" x14ac:dyDescent="0.2">
      <c r="A28" s="217"/>
      <c r="B28" s="218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56" x14ac:dyDescent="0.2">
      <c r="A29" s="217"/>
      <c r="B29" s="218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0"/>
      <c r="O29" s="210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6"/>
      <c r="AB29" s="206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6"/>
      <c r="AO29" s="206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6"/>
      <c r="BB29" s="206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6"/>
      <c r="BO29" s="206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6"/>
      <c r="CB29" s="206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6"/>
      <c r="CO29" s="206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6"/>
      <c r="DB29" s="206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6"/>
      <c r="DO29" s="206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6"/>
      <c r="EB29" s="206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6"/>
      <c r="EO29" s="206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6"/>
      <c r="FB29" s="206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6"/>
      <c r="FO29" s="206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6"/>
      <c r="GB29" s="206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6"/>
      <c r="GO29" s="206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6"/>
      <c r="HB29" s="206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6"/>
      <c r="HO29" s="206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6"/>
      <c r="IB29" s="206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6"/>
      <c r="IO29" s="206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7"/>
      <c r="B30" s="218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0"/>
      <c r="O30" s="210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6"/>
      <c r="AB30" s="206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6"/>
      <c r="AO30" s="206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6"/>
      <c r="BB30" s="206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6"/>
      <c r="BO30" s="206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6"/>
      <c r="CB30" s="206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6"/>
      <c r="CO30" s="206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6"/>
      <c r="DB30" s="206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6"/>
      <c r="DO30" s="206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6"/>
      <c r="EB30" s="206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6"/>
      <c r="EO30" s="206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6"/>
      <c r="FB30" s="206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6"/>
      <c r="FO30" s="206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6"/>
      <c r="GB30" s="206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6"/>
      <c r="GO30" s="206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6"/>
      <c r="HB30" s="206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6"/>
      <c r="HO30" s="206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6"/>
      <c r="IB30" s="206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6"/>
      <c r="IO30" s="206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7"/>
      <c r="B31" s="218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0"/>
      <c r="O31" s="210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6"/>
      <c r="AB31" s="206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6"/>
      <c r="AO31" s="206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6"/>
      <c r="BB31" s="206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6"/>
      <c r="BO31" s="206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6"/>
      <c r="CB31" s="206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6"/>
      <c r="CO31" s="206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6"/>
      <c r="DB31" s="206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6"/>
      <c r="DO31" s="206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6"/>
      <c r="EB31" s="206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6"/>
      <c r="EO31" s="206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6"/>
      <c r="FB31" s="206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6"/>
      <c r="FO31" s="206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6"/>
      <c r="GB31" s="206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6"/>
      <c r="GO31" s="206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6"/>
      <c r="HB31" s="206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6"/>
      <c r="HO31" s="206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6"/>
      <c r="IB31" s="206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6"/>
      <c r="IO31" s="206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7"/>
      <c r="B32" s="218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2"/>
      <c r="O32" s="222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7"/>
      <c r="AB32" s="218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7"/>
      <c r="AO32" s="218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7"/>
      <c r="BB32" s="218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7"/>
      <c r="BO32" s="218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7"/>
      <c r="CB32" s="218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7"/>
      <c r="CO32" s="218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7"/>
      <c r="DB32" s="218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7"/>
      <c r="DO32" s="218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7"/>
      <c r="EB32" s="218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7"/>
      <c r="EO32" s="218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7"/>
      <c r="FB32" s="218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7"/>
      <c r="FO32" s="218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7"/>
      <c r="GB32" s="218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7"/>
      <c r="GO32" s="218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7"/>
      <c r="HB32" s="218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7"/>
      <c r="HO32" s="218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7"/>
      <c r="IB32" s="218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7"/>
      <c r="IO32" s="218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7"/>
      <c r="B33" s="218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0"/>
      <c r="O38" s="210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6"/>
      <c r="AB38" s="206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6"/>
      <c r="AO38" s="206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6"/>
      <c r="BB38" s="206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6"/>
      <c r="BO38" s="206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6"/>
      <c r="CB38" s="206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6"/>
      <c r="CO38" s="206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6"/>
      <c r="DB38" s="206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6"/>
      <c r="DO38" s="206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6"/>
      <c r="EB38" s="206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6"/>
      <c r="EO38" s="206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6"/>
      <c r="FB38" s="206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6"/>
      <c r="FO38" s="206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6"/>
      <c r="GB38" s="206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6"/>
      <c r="GO38" s="206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6"/>
      <c r="HB38" s="206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6"/>
      <c r="HO38" s="206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6"/>
      <c r="IB38" s="206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6"/>
      <c r="IO38" s="206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7"/>
      <c r="B39" s="218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0"/>
      <c r="O39" s="210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6"/>
      <c r="AB39" s="206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6"/>
      <c r="AO39" s="206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6"/>
      <c r="BB39" s="206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6"/>
      <c r="BO39" s="206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6"/>
      <c r="CB39" s="206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6"/>
      <c r="CO39" s="206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6"/>
      <c r="DB39" s="206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6"/>
      <c r="DO39" s="206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6"/>
      <c r="EB39" s="206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6"/>
      <c r="EO39" s="206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6"/>
      <c r="FB39" s="206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6"/>
      <c r="FO39" s="206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6"/>
      <c r="GB39" s="206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6"/>
      <c r="GO39" s="206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6"/>
      <c r="HB39" s="206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6"/>
      <c r="HO39" s="206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6"/>
      <c r="IB39" s="206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6"/>
      <c r="IO39" s="206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7"/>
      <c r="B40" s="218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0"/>
      <c r="O40" s="210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6"/>
      <c r="AB40" s="206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6"/>
      <c r="AO40" s="206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6"/>
      <c r="BB40" s="206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6"/>
      <c r="BO40" s="206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6"/>
      <c r="CB40" s="206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6"/>
      <c r="CO40" s="206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6"/>
      <c r="DB40" s="206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6"/>
      <c r="DO40" s="206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6"/>
      <c r="EB40" s="206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6"/>
      <c r="EO40" s="206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6"/>
      <c r="FB40" s="206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6"/>
      <c r="FO40" s="206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6"/>
      <c r="GB40" s="206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6"/>
      <c r="GO40" s="206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6"/>
      <c r="HB40" s="206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6"/>
      <c r="HO40" s="206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6"/>
      <c r="IB40" s="206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6"/>
      <c r="IO40" s="206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7"/>
      <c r="B41" s="218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spans="1:256" x14ac:dyDescent="0.2">
      <c r="A51" s="217"/>
      <c r="B51" s="218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spans="1:256" x14ac:dyDescent="0.2">
      <c r="A52" s="217"/>
      <c r="B52" s="218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spans="1:256" x14ac:dyDescent="0.2">
      <c r="A53" s="217"/>
      <c r="B53" s="218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spans="1:256" x14ac:dyDescent="0.2">
      <c r="A54" s="217"/>
      <c r="B54" s="218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spans="1:256" x14ac:dyDescent="0.2">
      <c r="A55" s="217"/>
      <c r="B55" s="218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spans="1:256" x14ac:dyDescent="0.2">
      <c r="A56" s="217"/>
      <c r="B56" s="218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56" x14ac:dyDescent="0.2">
      <c r="A57" s="217"/>
      <c r="B57" s="218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56" x14ac:dyDescent="0.2">
      <c r="A58" s="217"/>
      <c r="B58" s="218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56" x14ac:dyDescent="0.2">
      <c r="A59" s="217"/>
      <c r="B59" s="218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7"/>
      <c r="B60" s="218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7"/>
      <c r="B61" s="218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7"/>
      <c r="B62" s="218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7"/>
      <c r="B63" s="218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7"/>
      <c r="B64" s="218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7"/>
      <c r="B65" s="218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7"/>
      <c r="B66" s="218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7"/>
      <c r="B67" s="218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7"/>
      <c r="B68" s="218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7"/>
      <c r="B69" s="218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19"/>
      <c r="B70" s="220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90" t="s">
        <v>848</v>
      </c>
      <c r="B72" s="290"/>
      <c r="C72" s="290"/>
      <c r="D72" s="290"/>
      <c r="E72" s="290"/>
      <c r="F72" s="125"/>
      <c r="G72" s="125"/>
      <c r="H72" s="125"/>
      <c r="I72" s="125"/>
      <c r="J72" s="125"/>
      <c r="K72" s="125"/>
      <c r="L72" s="125"/>
      <c r="M72" s="125"/>
    </row>
    <row r="73" spans="1:13" x14ac:dyDescent="0.2">
      <c r="A73" s="209" t="s">
        <v>768</v>
      </c>
      <c r="B73" s="209" t="s">
        <v>769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0"/>
      <c r="B74" s="210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0"/>
      <c r="B75" s="210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0"/>
      <c r="B76" s="210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0"/>
      <c r="B77" s="210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0"/>
      <c r="B78" s="210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0"/>
      <c r="B79" s="210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0"/>
      <c r="B80" s="210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0"/>
      <c r="B81" s="210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0"/>
      <c r="B82" s="210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0"/>
      <c r="B83" s="210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0"/>
      <c r="B84" s="210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0"/>
      <c r="B85" s="210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0"/>
      <c r="B86" s="210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0"/>
      <c r="B87" s="210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0"/>
      <c r="B88" s="210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0"/>
      <c r="B89" s="210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0"/>
      <c r="B90" s="210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2016-08-29T17:28:42Z</cp:lastPrinted>
  <dcterms:created xsi:type="dcterms:W3CDTF">1997-12-04T19:04:30Z</dcterms:created>
  <dcterms:modified xsi:type="dcterms:W3CDTF">2016-12-01T18:49:36Z</dcterms:modified>
</cp:coreProperties>
</file>