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4" i="1"/>
  <c r="F57" i="1" l="1"/>
  <c r="H515" i="1" l="1"/>
  <c r="H511" i="1"/>
  <c r="B37" i="12" l="1"/>
  <c r="B39" i="12"/>
  <c r="B20" i="12"/>
  <c r="B19" i="12"/>
  <c r="B21" i="12"/>
  <c r="B12" i="12"/>
  <c r="B11" i="12"/>
  <c r="B10" i="12"/>
  <c r="J523" i="1" l="1"/>
  <c r="I523" i="1"/>
  <c r="J522" i="1"/>
  <c r="I522" i="1"/>
  <c r="H522" i="1"/>
  <c r="J521" i="1"/>
  <c r="F527" i="1" l="1"/>
  <c r="G527" i="1"/>
  <c r="F532" i="1"/>
  <c r="G532" i="1"/>
  <c r="H537" i="1"/>
  <c r="H532" i="1"/>
  <c r="I532" i="1"/>
  <c r="K532" i="1"/>
  <c r="H527" i="1"/>
  <c r="H542" i="1"/>
  <c r="H538" i="1"/>
  <c r="H543" i="1"/>
  <c r="G528" i="1"/>
  <c r="F528" i="1"/>
  <c r="H528" i="1"/>
  <c r="H541" i="1"/>
  <c r="G526" i="1"/>
  <c r="F526" i="1"/>
  <c r="H526" i="1"/>
  <c r="I533" i="1"/>
  <c r="H531" i="1"/>
  <c r="H533" i="1"/>
  <c r="G533" i="1"/>
  <c r="F533" i="1"/>
  <c r="I531" i="1"/>
  <c r="H536" i="1"/>
  <c r="G531" i="1"/>
  <c r="F531" i="1"/>
  <c r="H564" i="1" l="1"/>
  <c r="H523" i="1" s="1"/>
  <c r="G564" i="1"/>
  <c r="G523" i="1" s="1"/>
  <c r="F564" i="1"/>
  <c r="F523" i="1" s="1"/>
  <c r="G563" i="1"/>
  <c r="F563" i="1"/>
  <c r="I562" i="1"/>
  <c r="I521" i="1" s="1"/>
  <c r="H562" i="1"/>
  <c r="H521" i="1" s="1"/>
  <c r="G562" i="1"/>
  <c r="F562" i="1"/>
  <c r="F521" i="1" s="1"/>
  <c r="G568" i="1"/>
  <c r="F568" i="1"/>
  <c r="H567" i="1"/>
  <c r="G567" i="1"/>
  <c r="F567" i="1"/>
  <c r="F514" i="1"/>
  <c r="F513" i="1"/>
  <c r="F522" i="1" l="1"/>
  <c r="G521" i="1"/>
  <c r="G522" i="1"/>
  <c r="F502" i="1"/>
  <c r="F501" i="1"/>
  <c r="F499" i="1"/>
  <c r="F498" i="1"/>
  <c r="D9" i="13" l="1"/>
  <c r="I613" i="1"/>
  <c r="G613" i="1"/>
  <c r="F613" i="1"/>
  <c r="J604" i="1"/>
  <c r="H665" i="1"/>
  <c r="G665" i="1"/>
  <c r="F665" i="1"/>
  <c r="H591" i="1"/>
  <c r="I591" i="1"/>
  <c r="J591" i="1"/>
  <c r="I595" i="1"/>
  <c r="J595" i="1"/>
  <c r="J592" i="1"/>
  <c r="I592" i="1"/>
  <c r="H592" i="1"/>
  <c r="F110" i="1"/>
  <c r="F465" i="1"/>
  <c r="H368" i="1"/>
  <c r="G368" i="1"/>
  <c r="F368" i="1"/>
  <c r="H397" i="1"/>
  <c r="H396" i="1"/>
  <c r="F439" i="1"/>
  <c r="K422" i="1"/>
  <c r="J468" i="1"/>
  <c r="J465" i="1"/>
  <c r="H465" i="1"/>
  <c r="G465" i="1"/>
  <c r="H24" i="1"/>
  <c r="H12" i="1"/>
  <c r="H22" i="1"/>
  <c r="H13" i="1"/>
  <c r="H14" i="1"/>
  <c r="C45" i="2" l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I147" i="1"/>
  <c r="I162" i="1"/>
  <c r="L250" i="1"/>
  <c r="L332" i="1"/>
  <c r="L254" i="1"/>
  <c r="L268" i="1"/>
  <c r="L269" i="1"/>
  <c r="L349" i="1"/>
  <c r="L350" i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D115" i="2"/>
  <c r="F115" i="2"/>
  <c r="G115" i="2"/>
  <c r="E120" i="2"/>
  <c r="E121" i="2"/>
  <c r="E122" i="2"/>
  <c r="E123" i="2"/>
  <c r="E124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I51" i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G460" i="1"/>
  <c r="H460" i="1"/>
  <c r="G461" i="1"/>
  <c r="H461" i="1"/>
  <c r="J470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5" i="1"/>
  <c r="H631" i="1"/>
  <c r="H634" i="1"/>
  <c r="H637" i="1"/>
  <c r="G639" i="1"/>
  <c r="G640" i="1"/>
  <c r="H640" i="1"/>
  <c r="G641" i="1"/>
  <c r="H641" i="1"/>
  <c r="G642" i="1"/>
  <c r="G643" i="1"/>
  <c r="H643" i="1"/>
  <c r="H644" i="1"/>
  <c r="G645" i="1"/>
  <c r="H645" i="1"/>
  <c r="G651" i="1"/>
  <c r="G652" i="1"/>
  <c r="H652" i="1"/>
  <c r="G653" i="1"/>
  <c r="H653" i="1"/>
  <c r="G654" i="1"/>
  <c r="H654" i="1"/>
  <c r="H655" i="1"/>
  <c r="J655" i="1" s="1"/>
  <c r="G164" i="2"/>
  <c r="A31" i="12"/>
  <c r="D18" i="13"/>
  <c r="C18" i="13" s="1"/>
  <c r="D18" i="2"/>
  <c r="D17" i="13"/>
  <c r="C17" i="13" s="1"/>
  <c r="F78" i="2"/>
  <c r="F81" i="2" s="1"/>
  <c r="D31" i="2"/>
  <c r="G157" i="2"/>
  <c r="F18" i="2"/>
  <c r="G161" i="2"/>
  <c r="E103" i="2"/>
  <c r="D91" i="2"/>
  <c r="E62" i="2"/>
  <c r="E63" i="2" s="1"/>
  <c r="E78" i="2"/>
  <c r="E81" i="2" s="1"/>
  <c r="L427" i="1"/>
  <c r="H112" i="1"/>
  <c r="J641" i="1"/>
  <c r="J571" i="1"/>
  <c r="K571" i="1"/>
  <c r="L433" i="1"/>
  <c r="L419" i="1"/>
  <c r="I169" i="1"/>
  <c r="J643" i="1"/>
  <c r="J140" i="1"/>
  <c r="H552" i="1"/>
  <c r="H140" i="1"/>
  <c r="L401" i="1"/>
  <c r="L393" i="1"/>
  <c r="J640" i="1"/>
  <c r="L560" i="1"/>
  <c r="G192" i="1"/>
  <c r="H192" i="1"/>
  <c r="J645" i="1"/>
  <c r="L570" i="1"/>
  <c r="G36" i="2"/>
  <c r="C138" i="2"/>
  <c r="C139" i="2" l="1"/>
  <c r="J96" i="1"/>
  <c r="I52" i="1"/>
  <c r="H620" i="1" s="1"/>
  <c r="G618" i="1"/>
  <c r="G43" i="1"/>
  <c r="D81" i="2"/>
  <c r="E118" i="2"/>
  <c r="F662" i="1"/>
  <c r="C12" i="10"/>
  <c r="K605" i="1"/>
  <c r="G648" i="1" s="1"/>
  <c r="I571" i="1"/>
  <c r="F571" i="1"/>
  <c r="H545" i="1"/>
  <c r="F459" i="1"/>
  <c r="C91" i="2"/>
  <c r="I552" i="1"/>
  <c r="L351" i="1"/>
  <c r="C26" i="10"/>
  <c r="G112" i="1"/>
  <c r="C32" i="10"/>
  <c r="C114" i="2"/>
  <c r="K545" i="1"/>
  <c r="G156" i="2"/>
  <c r="H571" i="1"/>
  <c r="J545" i="1"/>
  <c r="G636" i="1"/>
  <c r="I472" i="1"/>
  <c r="G619" i="1"/>
  <c r="H43" i="1"/>
  <c r="L270" i="1"/>
  <c r="A40" i="12"/>
  <c r="A13" i="12"/>
  <c r="F552" i="1"/>
  <c r="L524" i="1"/>
  <c r="I545" i="1"/>
  <c r="G552" i="1"/>
  <c r="J552" i="1"/>
  <c r="L544" i="1"/>
  <c r="K551" i="1"/>
  <c r="K550" i="1"/>
  <c r="L539" i="1"/>
  <c r="G545" i="1"/>
  <c r="L534" i="1"/>
  <c r="K549" i="1"/>
  <c r="L529" i="1"/>
  <c r="L565" i="1"/>
  <c r="K503" i="1"/>
  <c r="L614" i="1"/>
  <c r="K598" i="1"/>
  <c r="G647" i="1" s="1"/>
  <c r="J651" i="1"/>
  <c r="J634" i="1"/>
  <c r="I452" i="1"/>
  <c r="K338" i="1"/>
  <c r="K352" i="1" s="1"/>
  <c r="E31" i="2"/>
  <c r="C25" i="10"/>
  <c r="H25" i="13"/>
  <c r="C25" i="13" s="1"/>
  <c r="C35" i="10"/>
  <c r="J338" i="1"/>
  <c r="J352" i="1" s="1"/>
  <c r="C70" i="2"/>
  <c r="C111" i="2"/>
  <c r="G649" i="1"/>
  <c r="J649" i="1" s="1"/>
  <c r="D15" i="13"/>
  <c r="C15" i="13" s="1"/>
  <c r="C29" i="10"/>
  <c r="L290" i="1"/>
  <c r="C78" i="2"/>
  <c r="C18" i="2"/>
  <c r="H169" i="1"/>
  <c r="H193" i="1" s="1"/>
  <c r="H661" i="1"/>
  <c r="L256" i="1"/>
  <c r="E13" i="13"/>
  <c r="C13" i="13" s="1"/>
  <c r="C119" i="2"/>
  <c r="F112" i="1"/>
  <c r="E16" i="13"/>
  <c r="C16" i="13" s="1"/>
  <c r="H647" i="1"/>
  <c r="J647" i="1" s="1"/>
  <c r="D14" i="13"/>
  <c r="C14" i="13" s="1"/>
  <c r="C109" i="2"/>
  <c r="D6" i="13"/>
  <c r="C6" i="13" s="1"/>
  <c r="C15" i="10"/>
  <c r="G662" i="1"/>
  <c r="I662" i="1" s="1"/>
  <c r="C21" i="10"/>
  <c r="D29" i="13"/>
  <c r="C29" i="13" s="1"/>
  <c r="J617" i="1"/>
  <c r="G338" i="1"/>
  <c r="G352" i="1" s="1"/>
  <c r="L247" i="1"/>
  <c r="C16" i="10"/>
  <c r="I257" i="1"/>
  <c r="I271" i="1" s="1"/>
  <c r="C13" i="10"/>
  <c r="C10" i="10"/>
  <c r="E109" i="2"/>
  <c r="E115" i="2" s="1"/>
  <c r="D19" i="13"/>
  <c r="C19" i="13" s="1"/>
  <c r="H338" i="1"/>
  <c r="H352" i="1" s="1"/>
  <c r="E119" i="2"/>
  <c r="E128" i="2" s="1"/>
  <c r="C19" i="10"/>
  <c r="C122" i="2"/>
  <c r="C118" i="2"/>
  <c r="C62" i="2"/>
  <c r="C63" i="2" s="1"/>
  <c r="K257" i="1"/>
  <c r="K271" i="1" s="1"/>
  <c r="E8" i="13"/>
  <c r="C8" i="13" s="1"/>
  <c r="C125" i="2"/>
  <c r="C130" i="2"/>
  <c r="F22" i="13"/>
  <c r="C22" i="13" s="1"/>
  <c r="L328" i="1"/>
  <c r="L309" i="1"/>
  <c r="J257" i="1"/>
  <c r="J271" i="1" s="1"/>
  <c r="C112" i="2"/>
  <c r="F257" i="1"/>
  <c r="F271" i="1" s="1"/>
  <c r="D7" i="13"/>
  <c r="C7" i="13" s="1"/>
  <c r="L229" i="1"/>
  <c r="C120" i="2"/>
  <c r="C17" i="10"/>
  <c r="F338" i="1"/>
  <c r="F352" i="1" s="1"/>
  <c r="C124" i="2"/>
  <c r="H33" i="13"/>
  <c r="G661" i="1"/>
  <c r="D127" i="2"/>
  <c r="D128" i="2" s="1"/>
  <c r="D145" i="2" s="1"/>
  <c r="F661" i="1"/>
  <c r="L362" i="1"/>
  <c r="D12" i="13"/>
  <c r="C12" i="13" s="1"/>
  <c r="C121" i="2"/>
  <c r="C18" i="10"/>
  <c r="H257" i="1"/>
  <c r="H271" i="1" s="1"/>
  <c r="C123" i="2"/>
  <c r="C20" i="10"/>
  <c r="G257" i="1"/>
  <c r="G271" i="1" s="1"/>
  <c r="C11" i="10"/>
  <c r="D5" i="13"/>
  <c r="C5" i="13" s="1"/>
  <c r="C110" i="2"/>
  <c r="L21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G169" i="1"/>
  <c r="G140" i="1"/>
  <c r="F140" i="1"/>
  <c r="G42" i="2"/>
  <c r="G16" i="2"/>
  <c r="J19" i="1"/>
  <c r="G621" i="1" s="1"/>
  <c r="G18" i="2"/>
  <c r="F545" i="1"/>
  <c r="H434" i="1"/>
  <c r="J620" i="1"/>
  <c r="D103" i="2"/>
  <c r="D104" i="2" s="1"/>
  <c r="I140" i="1"/>
  <c r="A22" i="12"/>
  <c r="H646" i="1"/>
  <c r="J652" i="1"/>
  <c r="G571" i="1"/>
  <c r="I434" i="1"/>
  <c r="G434" i="1"/>
  <c r="I663" i="1"/>
  <c r="C81" i="2" l="1"/>
  <c r="C104" i="2" s="1"/>
  <c r="E42" i="2"/>
  <c r="E50" i="2" s="1"/>
  <c r="E51" i="2" s="1"/>
  <c r="H51" i="1"/>
  <c r="I459" i="1"/>
  <c r="F460" i="1"/>
  <c r="F461" i="1" s="1"/>
  <c r="H639" i="1" s="1"/>
  <c r="J639" i="1" s="1"/>
  <c r="G638" i="1"/>
  <c r="J472" i="1"/>
  <c r="H636" i="1"/>
  <c r="J636" i="1" s="1"/>
  <c r="I474" i="1"/>
  <c r="G51" i="1"/>
  <c r="D42" i="2"/>
  <c r="D50" i="2" s="1"/>
  <c r="D51" i="2" s="1"/>
  <c r="G59" i="2"/>
  <c r="G62" i="2" s="1"/>
  <c r="G63" i="2" s="1"/>
  <c r="G104" i="2" s="1"/>
  <c r="J111" i="1"/>
  <c r="J112" i="1" s="1"/>
  <c r="J193" i="1" s="1"/>
  <c r="G646" i="1" s="1"/>
  <c r="G644" i="1"/>
  <c r="J644" i="1" s="1"/>
  <c r="G635" i="1"/>
  <c r="G472" i="1"/>
  <c r="G629" i="1"/>
  <c r="H468" i="1"/>
  <c r="K552" i="1"/>
  <c r="L545" i="1"/>
  <c r="C144" i="2"/>
  <c r="C39" i="10"/>
  <c r="F104" i="2"/>
  <c r="I661" i="1"/>
  <c r="F193" i="1"/>
  <c r="I193" i="1"/>
  <c r="C27" i="10"/>
  <c r="C28" i="10" s="1"/>
  <c r="D22" i="10" s="1"/>
  <c r="E145" i="2"/>
  <c r="D31" i="13"/>
  <c r="C31" i="13" s="1"/>
  <c r="G660" i="1"/>
  <c r="G664" i="1" s="1"/>
  <c r="G667" i="1" s="1"/>
  <c r="H648" i="1"/>
  <c r="J648" i="1" s="1"/>
  <c r="L338" i="1"/>
  <c r="L352" i="1" s="1"/>
  <c r="H660" i="1"/>
  <c r="H664" i="1" s="1"/>
  <c r="H672" i="1" s="1"/>
  <c r="C6" i="10" s="1"/>
  <c r="E33" i="13"/>
  <c r="D35" i="13" s="1"/>
  <c r="L257" i="1"/>
  <c r="L271" i="1" s="1"/>
  <c r="C115" i="2"/>
  <c r="C128" i="2"/>
  <c r="F660" i="1"/>
  <c r="F664" i="1" s="1"/>
  <c r="F667" i="1" s="1"/>
  <c r="C51" i="2"/>
  <c r="G631" i="1"/>
  <c r="J631" i="1" s="1"/>
  <c r="J646" i="1"/>
  <c r="G193" i="1"/>
  <c r="C38" i="10"/>
  <c r="G630" i="1" l="1"/>
  <c r="I468" i="1"/>
  <c r="C36" i="10"/>
  <c r="C41" i="10" s="1"/>
  <c r="D38" i="10" s="1"/>
  <c r="J48" i="1"/>
  <c r="I460" i="1"/>
  <c r="I461" i="1" s="1"/>
  <c r="H642" i="1" s="1"/>
  <c r="J642" i="1" s="1"/>
  <c r="G628" i="1"/>
  <c r="G468" i="1"/>
  <c r="H470" i="1"/>
  <c r="H629" i="1"/>
  <c r="G623" i="1"/>
  <c r="G52" i="1"/>
  <c r="H618" i="1" s="1"/>
  <c r="J618" i="1" s="1"/>
  <c r="H638" i="1"/>
  <c r="J474" i="1"/>
  <c r="J476" i="1" s="1"/>
  <c r="H626" i="1" s="1"/>
  <c r="G624" i="1"/>
  <c r="H52" i="1"/>
  <c r="H619" i="1" s="1"/>
  <c r="J619" i="1" s="1"/>
  <c r="G633" i="1"/>
  <c r="H472" i="1"/>
  <c r="J629" i="1"/>
  <c r="J638" i="1"/>
  <c r="G632" i="1"/>
  <c r="F472" i="1"/>
  <c r="G474" i="1"/>
  <c r="H635" i="1"/>
  <c r="J635" i="1" s="1"/>
  <c r="G627" i="1"/>
  <c r="F468" i="1"/>
  <c r="G672" i="1"/>
  <c r="C5" i="10" s="1"/>
  <c r="D33" i="13"/>
  <c r="D36" i="13" s="1"/>
  <c r="H667" i="1"/>
  <c r="C145" i="2"/>
  <c r="D23" i="10"/>
  <c r="D20" i="10"/>
  <c r="D15" i="10"/>
  <c r="D17" i="10"/>
  <c r="D16" i="10"/>
  <c r="D10" i="10"/>
  <c r="D12" i="10"/>
  <c r="D18" i="10"/>
  <c r="C30" i="10"/>
  <c r="D19" i="10"/>
  <c r="D27" i="10"/>
  <c r="D26" i="10"/>
  <c r="D25" i="10"/>
  <c r="D24" i="10"/>
  <c r="D13" i="10"/>
  <c r="D11" i="10"/>
  <c r="D21" i="10"/>
  <c r="F672" i="1"/>
  <c r="C4" i="10" s="1"/>
  <c r="I660" i="1"/>
  <c r="I664" i="1" s="1"/>
  <c r="I672" i="1" s="1"/>
  <c r="C7" i="10" s="1"/>
  <c r="H628" i="1" l="1"/>
  <c r="G470" i="1"/>
  <c r="G476" i="1" s="1"/>
  <c r="H623" i="1" s="1"/>
  <c r="J623" i="1" s="1"/>
  <c r="J628" i="1"/>
  <c r="H632" i="1"/>
  <c r="J632" i="1" s="1"/>
  <c r="F474" i="1"/>
  <c r="H474" i="1"/>
  <c r="H633" i="1"/>
  <c r="I470" i="1"/>
  <c r="I476" i="1" s="1"/>
  <c r="H625" i="1" s="1"/>
  <c r="J625" i="1" s="1"/>
  <c r="H630" i="1"/>
  <c r="J630" i="1" s="1"/>
  <c r="J633" i="1"/>
  <c r="H476" i="1"/>
  <c r="H624" i="1" s="1"/>
  <c r="J624" i="1" s="1"/>
  <c r="G47" i="2"/>
  <c r="G50" i="2" s="1"/>
  <c r="G51" i="2" s="1"/>
  <c r="J51" i="1"/>
  <c r="H627" i="1"/>
  <c r="J627" i="1" s="1"/>
  <c r="F470" i="1"/>
  <c r="D28" i="10"/>
  <c r="I667" i="1"/>
  <c r="D37" i="10"/>
  <c r="D36" i="10"/>
  <c r="D35" i="10"/>
  <c r="D40" i="10"/>
  <c r="D39" i="10"/>
  <c r="F476" i="1" l="1"/>
  <c r="H622" i="1" s="1"/>
  <c r="J622" i="1" s="1"/>
  <c r="G626" i="1"/>
  <c r="J626" i="1" s="1"/>
  <c r="J52" i="1"/>
  <c r="H621" i="1" s="1"/>
  <c r="J621" i="1" s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<sst xmlns="http://schemas.openxmlformats.org/spreadsheetml/2006/main" count="3957" uniqueCount="915">
  <si>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</si>
  <si>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</si>
  <si>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</si>
  <si>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</si>
  <si>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</si>
  <si>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</si>
  <si>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</si>
  <si>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</si>
  <si>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</si>
  <si>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</si>
  <si>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</si>
  <si>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</si>
  <si>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</si>
  <si>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</si>
  <si>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</si>
  <si>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</si>
  <si>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</si>
  <si>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</si>
  <si>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</si>
  <si>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</si>
  <si>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</si>
  <si>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</si>
  <si>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</si>
  <si>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</si>
  <si>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</si>
  <si>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</si>
  <si>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</si>
  <si>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</si>
  <si>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</si>
  <si>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</si>
  <si>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</si>
  <si>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</si>
  <si>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</si>
  <si>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</si>
  <si>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</si>
  <si>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</si>
  <si>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</si>
  <si>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</si>
  <si>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</si>
  <si>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</si>
  <si>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</si>
  <si>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</si>
  <si>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</si>
  <si>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</si>
  <si>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</si>
  <si>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</si>
  <si>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</si>
  <si>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</si>
  <si>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</si>
  <si>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</si>
  <si>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</si>
  <si>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</si>
  <si>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</si>
  <si>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</si>
  <si>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</si>
  <si>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</si>
  <si>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</si>
  <si>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</si>
  <si>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</si>
  <si>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</si>
  <si>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</si>
  <si>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</si>
  <si>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</si>
  <si>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</si>
  <si>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</si>
  <si>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</si>
  <si>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</si>
  <si>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</si>
  <si>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</si>
  <si>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</si>
  <si>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</si>
  <si>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</si>
  <si>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</si>
  <si>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</si>
  <si>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</si>
  <si>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</si>
  <si>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</si>
  <si>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</si>
  <si>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</si>
  <si>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</si>
  <si>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</si>
  <si>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</si>
  <si>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</si>
  <si>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</si>
  <si>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</si>
  <si>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</si>
  <si>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</si>
  <si>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</si>
  <si>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</si>
  <si>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</si>
  <si>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</si>
  <si>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</si>
  <si>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</si>
  <si>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</si>
  <si>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</si>
  <si>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</si>
  <si>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</si>
  <si>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</si>
  <si>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</si>
  <si>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</si>
  <si>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</si>
  <si>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</si>
  <si>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</si>
  <si>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</si>
  <si>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</si>
  <si>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</si>
  <si>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</si>
  <si>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</si>
  <si>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</si>
  <si>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</si>
  <si>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</si>
  <si>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</si>
  <si>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</si>
  <si>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</si>
  <si>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</si>
  <si>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</si>
  <si>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</si>
  <si>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</si>
  <si>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</si>
  <si>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</si>
  <si>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</si>
  <si>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</si>
  <si>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</si>
  <si>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</si>
  <si>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</si>
  <si>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</si>
  <si>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</si>
  <si>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</si>
  <si>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</si>
  <si>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</si>
  <si>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</si>
  <si>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</si>
  <si>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</si>
  <si>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</si>
  <si>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</si>
  <si>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</si>
  <si>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</si>
  <si>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</si>
  <si>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</si>
  <si>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</si>
  <si>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</si>
  <si>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</si>
  <si>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</si>
  <si>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</si>
  <si>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</si>
  <si>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</si>
  <si>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</si>
  <si>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</si>
  <si>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</si>
  <si>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</si>
  <si>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</si>
  <si>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</si>
  <si>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</si>
  <si>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</si>
  <si>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</si>
  <si>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</si>
  <si>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</si>
  <si>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</si>
  <si>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</si>
  <si>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</si>
  <si>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</si>
  <si>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</si>
  <si>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</si>
  <si>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</si>
  <si>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</si>
  <si>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</si>
  <si>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</si>
  <si>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</si>
  <si>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</si>
  <si>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</si>
  <si>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</si>
  <si>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</si>
  <si>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</si>
  <si>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</si>
  <si>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</si>
  <si>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</si>
  <si>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</si>
  <si>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</si>
  <si>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</si>
  <si>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</si>
  <si>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</si>
  <si>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</si>
  <si>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</si>
  <si>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</si>
  <si>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</si>
  <si>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</si>
  <si>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</si>
  <si>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</si>
  <si>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</si>
  <si>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</si>
  <si>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</si>
  <si>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</si>
  <si>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</si>
  <si>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</si>
  <si>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</si>
  <si>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</si>
  <si>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</si>
  <si>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</si>
  <si>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</si>
  <si>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</si>
  <si>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</si>
  <si>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</si>
  <si>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</si>
  <si>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</si>
  <si>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</si>
  <si>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</si>
  <si>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</si>
  <si>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</si>
  <si>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</si>
  <si>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</si>
  <si>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</si>
  <si>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</si>
  <si>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</si>
  <si>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</si>
  <si>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</si>
  <si>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</si>
  <si>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</si>
  <si>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</si>
  <si>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</si>
  <si>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</si>
  <si>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</si>
  <si>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</si>
  <si>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</si>
  <si>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</si>
  <si>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</si>
  <si>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</si>
  <si>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</si>
  <si>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</si>
  <si>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</si>
  <si>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</si>
  <si>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</si>
  <si>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</si>
  <si>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</si>
  <si>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</si>
  <si>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</si>
  <si>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</si>
  <si>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</si>
  <si>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</si>
  <si>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</si>
  <si>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</si>
  <si>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</si>
  <si>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</si>
  <si>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</si>
  <si>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</si>
  <si>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</si>
  <si>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</si>
  <si>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</si>
  <si>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</si>
  <si>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</si>
  <si>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</si>
  <si>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</si>
  <si>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</si>
  <si>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</si>
  <si>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</si>
  <si>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</si>
  <si>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</si>
  <si>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</si>
  <si>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</si>
  <si>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</si>
  <si>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</si>
  <si>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</si>
  <si>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</si>
  <si>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</si>
  <si>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</si>
  <si>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</si>
  <si>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</si>
  <si>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</si>
  <si>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</si>
  <si>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</si>
  <si>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</si>
  <si>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</si>
  <si>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</si>
  <si>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</si>
  <si>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</si>
  <si>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</si>
  <si>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</si>
  <si>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</si>
  <si>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</si>
  <si>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</si>
  <si>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</si>
  <si>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</si>
  <si>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</si>
  <si>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</si>
  <si>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</si>
  <si>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</si>
  <si>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</si>
  <si>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</si>
  <si>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</si>
  <si>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</si>
  <si>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</si>
  <si>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</si>
  <si>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</si>
  <si>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</si>
  <si>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</si>
  <si>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</si>
  <si>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</si>
  <si>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</si>
  <si>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</si>
  <si>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</si>
  <si>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</si>
  <si>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</si>
  <si>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</si>
  <si>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</si>
  <si>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</si>
  <si>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</si>
  <si>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</si>
  <si>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</si>
  <si>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</si>
  <si>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</si>
  <si>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</si>
  <si>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</si>
  <si>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</si>
  <si>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</si>
  <si>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</si>
  <si>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</si>
  <si>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</si>
  <si>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</si>
  <si>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</si>
  <si>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</si>
  <si>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</si>
  <si>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</si>
  <si>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</si>
  <si>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</si>
  <si>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</si>
  <si>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</si>
  <si>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</si>
  <si>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</si>
  <si>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</si>
  <si>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</si>
  <si>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</si>
  <si>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</si>
  <si>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</si>
  <si>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</si>
  <si>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</si>
  <si>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</si>
  <si>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</si>
  <si>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</si>
  <si>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</si>
  <si>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</si>
  <si>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</si>
  <si>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</si>
  <si>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</si>
  <si>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</si>
  <si>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</si>
  <si>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</si>
  <si>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</si>
  <si>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</si>
  <si>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</si>
  <si>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</si>
  <si>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</si>
  <si>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</si>
  <si>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</si>
  <si>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</si>
  <si>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</si>
  <si>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</si>
  <si>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</si>
  <si>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</si>
  <si>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</si>
  <si>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</si>
  <si>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</si>
  <si>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</si>
  <si>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</si>
  <si>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</si>
  <si>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</si>
  <si>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</si>
  <si>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</si>
  <si>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</si>
  <si>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</si>
  <si>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</si>
  <si>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</si>
  <si>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</si>
  <si>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</si>
  <si>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</si>
  <si>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</si>
  <si>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</si>
  <si>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</si>
  <si>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</si>
  <si>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</si>
  <si>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</si>
  <si>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</si>
  <si>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</si>
  <si>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</si>
  <si>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</si>
  <si>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</si>
  <si>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</si>
  <si>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</si>
  <si>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</si>
  <si>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</si>
  <si>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</si>
  <si>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</si>
  <si>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</si>
  <si>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</si>
  <si>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</si>
  <si>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</si>
  <si>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</si>
  <si>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</si>
  <si>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</si>
  <si>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</si>
  <si>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</si>
  <si>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</si>
  <si>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</si>
  <si>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</si>
  <si>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</si>
  <si>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</si>
  <si>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</si>
  <si>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</si>
  <si>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</si>
  <si>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</si>
  <si>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</si>
  <si>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</si>
  <si>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</si>
  <si>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</si>
  <si>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</si>
  <si>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</si>
  <si>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</si>
  <si>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</si>
  <si>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</si>
  <si>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</si>
  <si>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</si>
  <si>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</si>
  <si>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</si>
  <si>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</si>
  <si>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</si>
  <si>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</si>
  <si>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</si>
  <si>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</si>
  <si>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</si>
  <si>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</si>
  <si>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</si>
  <si>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</si>
  <si>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</si>
  <si>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</si>
  <si>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</si>
  <si>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</si>
  <si>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</si>
  <si>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</si>
  <si>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</si>
  <si>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</si>
  <si>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</si>
  <si>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</si>
  <si>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</si>
  <si>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</si>
  <si>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</si>
  <si>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</si>
  <si>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</si>
  <si>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</si>
  <si>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</si>
  <si>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</si>
  <si>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</si>
  <si>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</si>
  <si>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</si>
  <si>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</si>
  <si>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</si>
  <si>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</si>
  <si>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</si>
  <si>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</si>
  <si>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</si>
  <si>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</si>
  <si>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</si>
  <si>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</si>
  <si>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</si>
  <si>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</si>
  <si>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</si>
  <si>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</si>
  <si>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</si>
  <si>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</si>
  <si>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</si>
  <si>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</si>
  <si>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</si>
  <si>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</si>
  <si>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</si>
  <si>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</si>
  <si>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</si>
  <si>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</si>
  <si>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</si>
  <si>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</si>
  <si>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</si>
  <si>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</si>
  <si>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</si>
  <si>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</si>
  <si>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</si>
  <si>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</si>
  <si>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</si>
  <si>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</si>
  <si>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</si>
  <si>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</si>
  <si>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</si>
  <si>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</si>
  <si>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</si>
  <si>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</si>
  <si>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</si>
  <si>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</si>
  <si>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</si>
  <si>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</si>
  <si>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</si>
  <si>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</si>
  <si>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</si>
  <si>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</si>
  <si>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</si>
  <si>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</si>
  <si>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</si>
  <si>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</si>
  <si>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</si>
  <si>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</si>
  <si>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</si>
  <si>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</si>
  <si>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</si>
  <si>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</si>
  <si>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</si>
  <si>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</si>
  <si>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</si>
  <si>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</si>
  <si>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</si>
  <si>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</si>
  <si>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</si>
  <si>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</si>
  <si>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</si>
  <si>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</si>
  <si>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</si>
  <si>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</si>
  <si>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</si>
  <si>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</si>
  <si>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</si>
  <si>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</si>
  <si>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</si>
  <si>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</si>
  <si>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</si>
  <si>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</si>
  <si>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</si>
  <si>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</si>
  <si>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</si>
  <si>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</si>
  <si>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</si>
  <si>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</si>
  <si>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</si>
  <si>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</si>
  <si>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</si>
  <si>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</si>
  <si>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</si>
  <si>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</si>
  <si>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</si>
  <si>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</si>
  <si>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</si>
  <si>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</si>
  <si>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</si>
  <si>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</si>
  <si>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</si>
  <si>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</si>
  <si>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</si>
  <si>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</si>
  <si>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</si>
  <si>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</si>
  <si>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</si>
  <si>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</si>
  <si>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</si>
  <si>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</si>
  <si>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</si>
  <si>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</si>
  <si>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</si>
  <si>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</si>
  <si>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</si>
  <si>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</si>
  <si>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</si>
  <si>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</si>
  <si>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</si>
  <si>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</si>
  <si>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</si>
  <si>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</si>
  <si>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</si>
  <si>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</si>
  <si>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</si>
  <si>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</si>
  <si>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</si>
  <si>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</si>
  <si>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</si>
  <si>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</si>
  <si>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</si>
  <si>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</si>
  <si>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</si>
  <si>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</si>
  <si>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</si>
  <si>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</si>
  <si>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</si>
  <si>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</si>
  <si>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</si>
  <si>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</si>
  <si>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</si>
  <si>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</si>
  <si>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</si>
  <si>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</si>
  <si>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</si>
  <si>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</si>
  <si>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</si>
  <si>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</si>
  <si>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</si>
  <si>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</si>
  <si>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</si>
  <si>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</si>
  <si>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</si>
  <si>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</si>
  <si>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</si>
  <si>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</si>
  <si>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</si>
  <si>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</si>
  <si>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</si>
  <si>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</si>
  <si>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</si>
  <si>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</si>
  <si>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</si>
  <si>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</si>
  <si>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</si>
  <si>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</si>
  <si>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</si>
  <si>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</si>
  <si>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</si>
  <si>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</si>
  <si>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</si>
  <si>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</si>
  <si>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</si>
  <si>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</si>
  <si>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</si>
  <si>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</si>
  <si>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</si>
  <si>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</si>
  <si>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</si>
  <si>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</si>
  <si>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</si>
  <si>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</si>
  <si>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</si>
  <si>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</si>
  <si>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</si>
  <si>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</si>
  <si>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</si>
  <si>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</si>
  <si>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</si>
  <si>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</si>
  <si>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</si>
  <si>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</si>
  <si>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</si>
  <si>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</si>
  <si>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</si>
  <si>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</si>
  <si>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</si>
  <si>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</si>
  <si>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</si>
  <si>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</si>
  <si>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</si>
  <si>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</si>
  <si>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</si>
  <si>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</si>
  <si>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</si>
  <si>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</si>
  <si>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</si>
  <si>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</si>
  <si>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</si>
  <si>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</si>
  <si>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</si>
  <si>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</si>
  <si>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</si>
  <si>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</si>
  <si>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</si>
  <si>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</si>
  <si>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</si>
  <si>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</si>
  <si>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</si>
  <si>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</si>
  <si>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</si>
  <si>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</si>
  <si>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</si>
  <si>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</si>
  <si>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</si>
  <si>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</si>
  <si>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</si>
  <si>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</si>
  <si>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</si>
  <si>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</si>
  <si>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</si>
  <si>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</si>
  <si>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</si>
  <si>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</si>
  <si>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</si>
  <si>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</si>
  <si>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</si>
  <si>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</si>
  <si>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</si>
  <si>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</si>
  <si>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</si>
  <si>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</si>
  <si>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</si>
  <si>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</si>
  <si>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</si>
  <si>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</si>
  <si>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</si>
  <si>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</si>
  <si>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</si>
  <si>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</si>
  <si>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</si>
  <si>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</si>
  <si>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</si>
  <si>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</si>
  <si>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</si>
  <si>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</si>
  <si>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</si>
  <si>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</si>
  <si>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</si>
  <si>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</si>
  <si>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</si>
  <si>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</si>
  <si>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</si>
  <si>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</si>
  <si>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</si>
  <si>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</si>
  <si>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</si>
  <si>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</si>
  <si>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</si>
  <si>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</si>
  <si>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</si>
  <si>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</si>
  <si>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</si>
  <si>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</si>
  <si>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</si>
  <si>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</si>
  <si>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</si>
  <si>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</si>
  <si>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</si>
  <si>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</si>
  <si>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</si>
  <si>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</si>
  <si>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</si>
  <si>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</si>
  <si>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</si>
  <si>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</si>
  <si>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</si>
  <si>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</si>
  <si>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</si>
  <si>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</si>
  <si>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</si>
  <si>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</si>
  <si>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</si>
  <si>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</si>
  <si>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</si>
  <si>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</si>
  <si>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</si>
  <si>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</si>
  <si>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</si>
  <si>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</si>
  <si>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</si>
  <si>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</si>
  <si>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</si>
  <si>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</si>
  <si>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</si>
  <si>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</si>
  <si>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</si>
  <si>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</si>
  <si>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</si>
  <si>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</si>
  <si>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</si>
  <si>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</si>
  <si>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</si>
  <si>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</si>
  <si>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</si>
  <si>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</si>
  <si>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</si>
  <si>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</si>
  <si>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</si>
  <si>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</si>
  <si>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</si>
  <si>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</si>
  <si>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</si>
  <si>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</si>
  <si>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</si>
  <si>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</si>
  <si>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</si>
  <si>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</si>
  <si>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</si>
  <si>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</si>
  <si>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</si>
  <si>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</si>
  <si>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</si>
  <si>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</si>
  <si>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</si>
  <si>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</si>
  <si>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</si>
  <si>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</si>
  <si>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</si>
  <si>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</si>
  <si>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</si>
  <si>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</si>
  <si>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</si>
  <si>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</si>
  <si>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</si>
  <si>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</si>
  <si>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</si>
  <si>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</si>
  <si>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</si>
  <si>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</si>
  <si>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</si>
  <si>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</si>
  <si>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</si>
  <si>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</si>
  <si>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</si>
  <si>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</si>
  <si>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</si>
  <si>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</si>
  <si>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</si>
  <si>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</si>
  <si>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</si>
  <si>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</si>
  <si>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</si>
  <si>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</si>
  <si>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</si>
  <si>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</si>
  <si>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</si>
  <si>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</si>
  <si>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</si>
  <si>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</si>
  <si>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</si>
  <si>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</si>
  <si>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</si>
  <si>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</si>
  <si>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</si>
  <si>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</si>
  <si>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</si>
  <si>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</si>
  <si>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</si>
  <si>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</si>
  <si>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</si>
  <si>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</si>
  <si>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</si>
  <si>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</si>
  <si>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</si>
  <si>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</si>
  <si>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</si>
  <si>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</si>
  <si>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</si>
  <si>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</si>
  <si>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</si>
  <si>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</si>
  <si>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</si>
  <si>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</si>
  <si>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</si>
  <si>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</si>
  <si>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</si>
  <si>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</si>
  <si>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</si>
  <si>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</si>
  <si>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</si>
  <si>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</si>
  <si>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</si>
  <si>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</si>
  <si>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</si>
  <si>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</si>
  <si>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</si>
  <si>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</si>
  <si>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</si>
  <si>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</si>
  <si>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</si>
  <si>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</si>
  <si>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</si>
  <si>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</si>
  <si>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</si>
  <si>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</si>
  <si>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</si>
  <si>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</si>
  <si>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</si>
  <si>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</si>
  <si>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</si>
  <si>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</si>
  <si>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</si>
  <si>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</si>
  <si>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</si>
  <si>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</si>
  <si>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</si>
  <si>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</si>
  <si>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</si>
  <si>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</si>
  <si>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</si>
  <si>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</si>
  <si>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</si>
  <si>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</si>
  <si>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</si>
  <si>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</si>
  <si>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</si>
  <si>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</si>
  <si>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</si>
  <si>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</si>
  <si>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</si>
  <si>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</si>
  <si>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</si>
  <si>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</si>
  <si>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</si>
  <si>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</si>
  <si>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</si>
  <si>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</si>
  <si>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</si>
  <si>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</si>
  <si>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</si>
  <si>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</si>
  <si>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</si>
  <si>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</si>
  <si>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</si>
  <si>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</si>
  <si>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</si>
  <si>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</si>
  <si>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</si>
  <si>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</si>
  <si>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</si>
  <si>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</si>
  <si>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</si>
  <si>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</si>
  <si>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</si>
  <si>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</si>
  <si>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08/04</t>
  </si>
  <si>
    <t>08/24</t>
  </si>
  <si>
    <t>Sanborn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</si>
</sst>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476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1515600.58</v>
      </c>
      <c r="G9" s="18"/>
      <c r="H9" s="18"/>
      <c r="I9" s="18"/>
      <c r="J9" s="67">
        <f>SUM(I439)</f>
        <v>281360.16000000003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160803.06</v>
      </c>
      <c r="G12" s="18">
        <v>36275.26</v>
      </c>
      <c r="H12" s="18">
        <f>324548.09</f>
        <v>324548.09000000003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1046720.55</v>
      </c>
      <c r="G13" s="18">
        <v>7756.93</v>
      </c>
      <c r="H13" s="18">
        <f>280635.58</f>
        <v>280635.58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28842.58</v>
      </c>
      <c r="G14" s="18">
        <v>3109.5</v>
      </c>
      <c r="H14" s="18">
        <f>7543.75</f>
        <v>7543.75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22188.44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2774155.2100000004</v>
      </c>
      <c r="G19" s="41">
        <f>SUM(G9:G18)</f>
        <v>47141.69</v>
      </c>
      <c r="H19" s="41">
        <f>SUM(H9:H18)</f>
        <v>612727.42000000004</v>
      </c>
      <c r="I19" s="41">
        <f>SUM(I9:I18)</f>
        <v>0</v>
      </c>
      <c r="J19" s="41">
        <f>SUM(J9:J18)</f>
        <v>281360.16000000003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360823.35</v>
      </c>
      <c r="G22" s="18"/>
      <c r="H22" s="18">
        <f>160803.06</f>
        <v>160803.06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53660.959999999999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253081.62</v>
      </c>
      <c r="G24" s="18">
        <v>11366.77</v>
      </c>
      <c r="H24" s="18">
        <f>6392.5+24817.48</f>
        <v>31209.98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61586.27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4581.67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37494.97</v>
      </c>
      <c r="G30" s="18">
        <v>11929.65</v>
      </c>
      <c r="H30" s="18">
        <v>95015.039999999994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40785.57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758353.45</v>
      </c>
      <c r="G32" s="41">
        <f>SUM(G22:G31)</f>
        <v>23296.42</v>
      </c>
      <c r="H32" s="41">
        <f>SUM(H22:H31)</f>
        <v>287028.08</v>
      </c>
      <c r="I32" s="41">
        <f>SUM(I22:I31)</f>
        <v>0</v>
      </c>
      <c r="J32" s="41">
        <f>SUM(J22:J31)</f>
        <v>53660.959999999999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22188.44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f>G19-G32</f>
        <v>23845.270000000004</v>
      </c>
      <c r="H43" s="18">
        <f>H19-H32</f>
        <v>325699.34000000003</v>
      </c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153660.96-40</f>
        <v>153620.96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8520.7999999999993</v>
      </c>
      <c r="G48" s="18"/>
      <c r="H48" s="18"/>
      <c r="I48" s="18"/>
      <c r="J48" s="13">
        <f>SUM(I459)</f>
        <v>227699.20000000004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686741.18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1144690.38+40</f>
        <v>1144730.3799999999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2015801.7599999998</v>
      </c>
      <c r="G51" s="41">
        <f>SUM(G35:G50)</f>
        <v>23845.270000000004</v>
      </c>
      <c r="H51" s="41">
        <f>SUM(H35:H50)</f>
        <v>325699.34000000003</v>
      </c>
      <c r="I51" s="41">
        <f>SUM(I35:I50)</f>
        <v>0</v>
      </c>
      <c r="J51" s="41">
        <f>SUM(J35:J50)</f>
        <v>227699.20000000004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2774155.21</v>
      </c>
      <c r="G52" s="41">
        <f>G51+G32</f>
        <v>47141.69</v>
      </c>
      <c r="H52" s="41">
        <f>H51+H32</f>
        <v>612727.42000000004</v>
      </c>
      <c r="I52" s="41">
        <f>I51+I32</f>
        <v>0</v>
      </c>
      <c r="J52" s="41">
        <f>J51+J32</f>
        <v>281360.16000000003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20830472-6</f>
        <v>20830466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21693.03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20852159.030000001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41097.5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12520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4004642.84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4058260.34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10456.36</v>
      </c>
      <c r="G96" s="18"/>
      <c r="H96" s="18"/>
      <c r="I96" s="18"/>
      <c r="J96" s="18">
        <f>L401</f>
        <v>422.3100000000195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375732.85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>
        <v>51772.5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37686.9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30549.98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17453.23+1257.1</f>
        <v>18710.329999999998</v>
      </c>
      <c r="G110" s="18"/>
      <c r="H110" s="18"/>
      <c r="I110" s="18">
        <v>101139.65</v>
      </c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59716.67</v>
      </c>
      <c r="G111" s="41">
        <f>SUM(G96:G110)</f>
        <v>375732.85</v>
      </c>
      <c r="H111" s="41">
        <f>SUM(H96:H110)</f>
        <v>89459.4</v>
      </c>
      <c r="I111" s="41">
        <f>SUM(I96:I110)</f>
        <v>101139.65</v>
      </c>
      <c r="J111" s="41">
        <f>SUM(J96:J110)</f>
        <v>422.3100000000195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24970136.040000003</v>
      </c>
      <c r="G112" s="41">
        <f>G60+G111</f>
        <v>375732.85</v>
      </c>
      <c r="H112" s="41">
        <f>H60+H79+H94+H111</f>
        <v>89459.4</v>
      </c>
      <c r="I112" s="41">
        <f>I60+I111</f>
        <v>101139.65</v>
      </c>
      <c r="J112" s="41">
        <f>J60+J111</f>
        <v>422.3100000000195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3781798.27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2483633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19759.810000000001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6285191.0799999991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640676.94999999995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152260.6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25954.2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6990.1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6738.5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825630.24999999988</v>
      </c>
      <c r="G136" s="41">
        <f>SUM(G123:G135)</f>
        <v>6990.1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7110821.3299999991</v>
      </c>
      <c r="G140" s="41">
        <f>G121+SUM(G136:G137)</f>
        <v>6990.1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>
        <v>58890.11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v>78215.27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78215.27</v>
      </c>
      <c r="I147" s="41">
        <f>SUM(I145:I146)</f>
        <v>58890.11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205672.97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346800.37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137729.64000000001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102956.15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417339.96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102956.15</v>
      </c>
      <c r="G162" s="41">
        <f>SUM(G150:G161)</f>
        <v>137729.64000000001</v>
      </c>
      <c r="H162" s="41">
        <f>SUM(H150:H161)</f>
        <v>969813.3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102956.15</v>
      </c>
      <c r="G169" s="41">
        <f>G147+G162+SUM(G163:G168)</f>
        <v>137729.64000000001</v>
      </c>
      <c r="H169" s="41">
        <f>H147+H162+SUM(H163:H168)</f>
        <v>1048028.5700000001</v>
      </c>
      <c r="I169" s="41">
        <f>I147+I162+SUM(I163:I168)</f>
        <v>58890.11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30233.63</v>
      </c>
      <c r="H179" s="18"/>
      <c r="I179" s="18">
        <v>191524.43</v>
      </c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1034.9000000000001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1034.9000000000001</v>
      </c>
      <c r="G183" s="41">
        <f>SUM(G179:G182)</f>
        <v>30233.63</v>
      </c>
      <c r="H183" s="41">
        <f>SUM(H179:H182)</f>
        <v>0</v>
      </c>
      <c r="I183" s="41">
        <f>SUM(I179:I182)</f>
        <v>191524.43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53660.959999999999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53660.959999999999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54695.86</v>
      </c>
      <c r="G192" s="41">
        <f>G183+SUM(G188:G191)</f>
        <v>30233.63</v>
      </c>
      <c r="H192" s="41">
        <f>+H183+SUM(H188:H191)</f>
        <v>0</v>
      </c>
      <c r="I192" s="41">
        <f>I177+I183+SUM(I188:I191)</f>
        <v>191524.43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32238609.379999999</v>
      </c>
      <c r="G193" s="47">
        <f>G112+G140+G169+G192</f>
        <v>550686.22</v>
      </c>
      <c r="H193" s="47">
        <f>H112+H140+H169+H192</f>
        <v>1137487.97</v>
      </c>
      <c r="I193" s="47">
        <f>I112+I140+I169+I192</f>
        <v>351554.19</v>
      </c>
      <c r="J193" s="47">
        <f>J112+J140+J192</f>
        <v>422.3100000000195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3104895.91</v>
      </c>
      <c r="G197" s="18">
        <v>1558409.15</v>
      </c>
      <c r="H197" s="18">
        <v>81894.16</v>
      </c>
      <c r="I197" s="18">
        <v>158168.4</v>
      </c>
      <c r="J197" s="18">
        <v>167483.51</v>
      </c>
      <c r="K197" s="18">
        <v>14579.9</v>
      </c>
      <c r="L197" s="19">
        <f>SUM(F197:K197)</f>
        <v>5085431.0300000012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1432228.26</v>
      </c>
      <c r="G198" s="18">
        <v>751380.87</v>
      </c>
      <c r="H198" s="18">
        <v>425809.01</v>
      </c>
      <c r="I198" s="18">
        <v>10060.86</v>
      </c>
      <c r="J198" s="18">
        <v>1587.98</v>
      </c>
      <c r="K198" s="18"/>
      <c r="L198" s="19">
        <f>SUM(F198:K198)</f>
        <v>2621066.9799999995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50286.68</v>
      </c>
      <c r="G200" s="18">
        <v>3814.08</v>
      </c>
      <c r="H200" s="18"/>
      <c r="I200" s="18"/>
      <c r="J200" s="18"/>
      <c r="K200" s="18"/>
      <c r="L200" s="19">
        <f>SUM(F200:K200)</f>
        <v>54100.76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574066.30000000005</v>
      </c>
      <c r="G202" s="18">
        <v>300916.84000000003</v>
      </c>
      <c r="H202" s="18">
        <v>115449.95</v>
      </c>
      <c r="I202" s="18">
        <v>2960.48</v>
      </c>
      <c r="J202" s="18"/>
      <c r="K202" s="18"/>
      <c r="L202" s="19">
        <f t="shared" ref="L202:L208" si="0">SUM(F202:K202)</f>
        <v>993393.57000000007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120289.65</v>
      </c>
      <c r="G203" s="18">
        <v>83130.45</v>
      </c>
      <c r="H203" s="18">
        <v>13169.83</v>
      </c>
      <c r="I203" s="18">
        <v>22121.45</v>
      </c>
      <c r="J203" s="18">
        <v>341.26</v>
      </c>
      <c r="K203" s="18"/>
      <c r="L203" s="19">
        <f t="shared" si="0"/>
        <v>239052.63999999998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167474.06</v>
      </c>
      <c r="G204" s="18">
        <v>66149.25</v>
      </c>
      <c r="H204" s="18">
        <v>34339.870000000003</v>
      </c>
      <c r="I204" s="18">
        <v>5074.8999999999996</v>
      </c>
      <c r="J204" s="18"/>
      <c r="K204" s="18">
        <v>38345.620000000003</v>
      </c>
      <c r="L204" s="19">
        <f t="shared" si="0"/>
        <v>311383.7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531061.37</v>
      </c>
      <c r="G205" s="18">
        <v>264719.53000000003</v>
      </c>
      <c r="H205" s="18">
        <v>19652.349999999999</v>
      </c>
      <c r="I205" s="18">
        <v>946.51</v>
      </c>
      <c r="J205" s="18">
        <v>15874.07</v>
      </c>
      <c r="K205" s="18">
        <v>6833</v>
      </c>
      <c r="L205" s="19">
        <f t="shared" si="0"/>
        <v>839086.83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66743.990000000005</v>
      </c>
      <c r="G206" s="18">
        <v>36946.33</v>
      </c>
      <c r="H206" s="18">
        <v>50616.66</v>
      </c>
      <c r="I206" s="18">
        <v>1100.1400000000001</v>
      </c>
      <c r="J206" s="18"/>
      <c r="K206" s="18">
        <v>308.39999999999998</v>
      </c>
      <c r="L206" s="19">
        <f t="shared" si="0"/>
        <v>155715.52000000002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429391.11</v>
      </c>
      <c r="G207" s="18">
        <v>237529.26</v>
      </c>
      <c r="H207" s="18">
        <v>186604.63</v>
      </c>
      <c r="I207" s="18">
        <v>232786.46</v>
      </c>
      <c r="J207" s="18">
        <v>12972.34</v>
      </c>
      <c r="K207" s="18">
        <v>1512.29</v>
      </c>
      <c r="L207" s="19">
        <f t="shared" si="0"/>
        <v>1100796.0900000001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452950.14</v>
      </c>
      <c r="I208" s="18">
        <v>29311.47</v>
      </c>
      <c r="J208" s="18"/>
      <c r="K208" s="18"/>
      <c r="L208" s="19">
        <f t="shared" si="0"/>
        <v>482261.61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96850.08</v>
      </c>
      <c r="G209" s="18">
        <v>111766.02</v>
      </c>
      <c r="H209" s="18">
        <v>41178.080000000002</v>
      </c>
      <c r="I209" s="18"/>
      <c r="J209" s="18"/>
      <c r="K209" s="18"/>
      <c r="L209" s="19">
        <f>SUM(F209:K209)</f>
        <v>249794.18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6573287.4100000001</v>
      </c>
      <c r="G211" s="41">
        <f t="shared" si="1"/>
        <v>3414761.78</v>
      </c>
      <c r="H211" s="41">
        <f t="shared" si="1"/>
        <v>1421664.6800000002</v>
      </c>
      <c r="I211" s="41">
        <f t="shared" si="1"/>
        <v>462530.67000000004</v>
      </c>
      <c r="J211" s="41">
        <f t="shared" si="1"/>
        <v>198259.16000000003</v>
      </c>
      <c r="K211" s="41">
        <f t="shared" si="1"/>
        <v>61579.210000000006</v>
      </c>
      <c r="L211" s="41">
        <f t="shared" si="1"/>
        <v>12132082.909999998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1796299.11</v>
      </c>
      <c r="G215" s="18">
        <v>864205.42</v>
      </c>
      <c r="H215" s="18">
        <v>44938.03</v>
      </c>
      <c r="I215" s="18">
        <v>90317.05</v>
      </c>
      <c r="J215" s="18">
        <v>176514.18</v>
      </c>
      <c r="K215" s="18">
        <v>9334.99</v>
      </c>
      <c r="L215" s="19">
        <f>SUM(F215:K215)</f>
        <v>2981608.7800000003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501780.35</v>
      </c>
      <c r="G216" s="18">
        <v>326537.59999999998</v>
      </c>
      <c r="H216" s="18">
        <v>280403.58</v>
      </c>
      <c r="I216" s="18">
        <v>8272.1299999999992</v>
      </c>
      <c r="J216" s="18">
        <v>240.18</v>
      </c>
      <c r="K216" s="18"/>
      <c r="L216" s="19">
        <f>SUM(F216:K216)</f>
        <v>1117233.8399999999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67423.81</v>
      </c>
      <c r="G218" s="18">
        <v>23611.26</v>
      </c>
      <c r="H218" s="18">
        <v>11858</v>
      </c>
      <c r="I218" s="18">
        <v>5636.69</v>
      </c>
      <c r="J218" s="18">
        <v>7192.76</v>
      </c>
      <c r="K218" s="18">
        <v>1149.9000000000001</v>
      </c>
      <c r="L218" s="19">
        <f>SUM(F218:K218)</f>
        <v>116872.41999999998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290255.07</v>
      </c>
      <c r="G220" s="18">
        <v>153934.67000000001</v>
      </c>
      <c r="H220" s="18">
        <v>37223.589999999997</v>
      </c>
      <c r="I220" s="18">
        <v>2151.5700000000002</v>
      </c>
      <c r="J220" s="18">
        <v>2520</v>
      </c>
      <c r="K220" s="18">
        <v>197.31</v>
      </c>
      <c r="L220" s="19">
        <f t="shared" ref="L220:L226" si="2">SUM(F220:K220)</f>
        <v>486282.20999999996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68930</v>
      </c>
      <c r="G221" s="18">
        <v>26799.01</v>
      </c>
      <c r="H221" s="18">
        <v>7624.65</v>
      </c>
      <c r="I221" s="18">
        <v>12733.34</v>
      </c>
      <c r="J221" s="18">
        <v>355.09</v>
      </c>
      <c r="K221" s="18"/>
      <c r="L221" s="19">
        <f t="shared" si="2"/>
        <v>116442.08999999998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96964.65</v>
      </c>
      <c r="G222" s="18">
        <v>38296.94</v>
      </c>
      <c r="H222" s="18">
        <v>19880.98</v>
      </c>
      <c r="I222" s="18">
        <v>2936.28</v>
      </c>
      <c r="J222" s="18"/>
      <c r="K222" s="18">
        <v>22200.080000000002</v>
      </c>
      <c r="L222" s="19">
        <f t="shared" si="2"/>
        <v>180278.93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276302.46999999997</v>
      </c>
      <c r="G223" s="18">
        <v>126684.19</v>
      </c>
      <c r="H223" s="18">
        <v>11324.75</v>
      </c>
      <c r="I223" s="18"/>
      <c r="J223" s="18"/>
      <c r="K223" s="18">
        <v>4767.71</v>
      </c>
      <c r="L223" s="19">
        <f t="shared" si="2"/>
        <v>419079.12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38641.26</v>
      </c>
      <c r="G224" s="18">
        <v>21389.97</v>
      </c>
      <c r="H224" s="18">
        <v>29304.39</v>
      </c>
      <c r="I224" s="18">
        <v>636.91999999999996</v>
      </c>
      <c r="J224" s="18"/>
      <c r="K224" s="18">
        <v>171.75</v>
      </c>
      <c r="L224" s="19">
        <f t="shared" si="2"/>
        <v>90144.29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196220.73</v>
      </c>
      <c r="G225" s="18">
        <v>109400.8</v>
      </c>
      <c r="H225" s="18">
        <v>62404.36</v>
      </c>
      <c r="I225" s="18">
        <v>127492.9</v>
      </c>
      <c r="J225" s="18">
        <v>1679.76</v>
      </c>
      <c r="K225" s="18">
        <v>903.07</v>
      </c>
      <c r="L225" s="19">
        <f t="shared" si="2"/>
        <v>498101.62000000005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291672.8</v>
      </c>
      <c r="I226" s="18">
        <v>16969.810000000001</v>
      </c>
      <c r="J226" s="18"/>
      <c r="K226" s="18"/>
      <c r="L226" s="19">
        <f t="shared" si="2"/>
        <v>308642.61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50846.29</v>
      </c>
      <c r="G227" s="18">
        <v>58794.2</v>
      </c>
      <c r="H227" s="18">
        <v>23440.14</v>
      </c>
      <c r="I227" s="18"/>
      <c r="J227" s="18"/>
      <c r="K227" s="18"/>
      <c r="L227" s="19">
        <f>SUM(F227:K227)</f>
        <v>133080.63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3383663.7399999998</v>
      </c>
      <c r="G229" s="41">
        <f>SUM(G215:G228)</f>
        <v>1749654.0599999998</v>
      </c>
      <c r="H229" s="41">
        <f>SUM(H215:H228)</f>
        <v>820075.2699999999</v>
      </c>
      <c r="I229" s="41">
        <f>SUM(I215:I228)</f>
        <v>267146.69</v>
      </c>
      <c r="J229" s="41">
        <f>SUM(J215:J228)</f>
        <v>188501.97</v>
      </c>
      <c r="K229" s="41">
        <f t="shared" si="3"/>
        <v>38724.81</v>
      </c>
      <c r="L229" s="41">
        <f t="shared" si="3"/>
        <v>6447766.54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2963092.39</v>
      </c>
      <c r="G233" s="18">
        <v>1298570.8400000001</v>
      </c>
      <c r="H233" s="18">
        <v>113289.08</v>
      </c>
      <c r="I233" s="18">
        <v>105316.58</v>
      </c>
      <c r="J233" s="18">
        <v>190325.97</v>
      </c>
      <c r="K233" s="18">
        <v>15683.26</v>
      </c>
      <c r="L233" s="19">
        <f>SUM(F233:K233)</f>
        <v>4686278.12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646796.26</v>
      </c>
      <c r="G234" s="18">
        <v>359871.77</v>
      </c>
      <c r="H234" s="18">
        <v>352714.12</v>
      </c>
      <c r="I234" s="18">
        <v>10792.7</v>
      </c>
      <c r="J234" s="18">
        <v>436.7</v>
      </c>
      <c r="K234" s="18"/>
      <c r="L234" s="19">
        <f>SUM(F234:K234)</f>
        <v>1370611.5499999998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183358</v>
      </c>
      <c r="I235" s="18"/>
      <c r="J235" s="18"/>
      <c r="K235" s="18"/>
      <c r="L235" s="19">
        <f>SUM(F235:K235)</f>
        <v>183358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185464.26</v>
      </c>
      <c r="G236" s="18">
        <v>53616.73</v>
      </c>
      <c r="H236" s="18">
        <v>65068.45</v>
      </c>
      <c r="I236" s="18">
        <v>16939.900000000001</v>
      </c>
      <c r="J236" s="18">
        <v>57391.63</v>
      </c>
      <c r="K236" s="18">
        <v>16685.95</v>
      </c>
      <c r="L236" s="19">
        <f>SUM(F236:K236)</f>
        <v>395166.92000000004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434799.32</v>
      </c>
      <c r="G238" s="18">
        <v>229583.75</v>
      </c>
      <c r="H238" s="18">
        <v>45944.42</v>
      </c>
      <c r="I238" s="18">
        <v>6772.22</v>
      </c>
      <c r="J238" s="18"/>
      <c r="K238" s="18">
        <v>8577</v>
      </c>
      <c r="L238" s="19">
        <f t="shared" ref="L238:L244" si="4">SUM(F238:K238)</f>
        <v>725676.71000000008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90148.93</v>
      </c>
      <c r="G239" s="18">
        <v>79548.42</v>
      </c>
      <c r="H239" s="18">
        <v>13862.98</v>
      </c>
      <c r="I239" s="18">
        <v>41944.17</v>
      </c>
      <c r="J239" s="18">
        <v>3495.2</v>
      </c>
      <c r="K239" s="18"/>
      <c r="L239" s="19">
        <f t="shared" si="4"/>
        <v>228999.7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176282.48</v>
      </c>
      <c r="G240" s="18">
        <v>69630.75</v>
      </c>
      <c r="H240" s="18">
        <v>36147.25</v>
      </c>
      <c r="I240" s="18">
        <v>5339.43</v>
      </c>
      <c r="J240" s="18"/>
      <c r="K240" s="18">
        <v>40363.800000000003</v>
      </c>
      <c r="L240" s="19">
        <f t="shared" si="4"/>
        <v>327763.70999999996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393634.91</v>
      </c>
      <c r="G241" s="18">
        <v>193510.57</v>
      </c>
      <c r="H241" s="18">
        <v>18714.150000000001</v>
      </c>
      <c r="I241" s="18">
        <v>15401.14</v>
      </c>
      <c r="J241" s="18">
        <v>15929.57</v>
      </c>
      <c r="K241" s="18">
        <v>16347.58</v>
      </c>
      <c r="L241" s="19">
        <f t="shared" si="4"/>
        <v>653537.91999999993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70256.83</v>
      </c>
      <c r="G242" s="18">
        <v>38890.879999999997</v>
      </c>
      <c r="H242" s="18">
        <v>53280.7</v>
      </c>
      <c r="I242" s="18">
        <v>1158.04</v>
      </c>
      <c r="J242" s="18">
        <v>0</v>
      </c>
      <c r="K242" s="18">
        <v>314.85000000000002</v>
      </c>
      <c r="L242" s="19">
        <f t="shared" si="4"/>
        <v>163901.29999999999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483010.32</v>
      </c>
      <c r="G243" s="18">
        <v>260048.88</v>
      </c>
      <c r="H243" s="18">
        <v>205538.6</v>
      </c>
      <c r="I243" s="18">
        <v>395287.58</v>
      </c>
      <c r="J243" s="18">
        <v>3320.92</v>
      </c>
      <c r="K243" s="18">
        <v>2025.24</v>
      </c>
      <c r="L243" s="19">
        <f t="shared" si="4"/>
        <v>1349231.5399999998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417948.79</v>
      </c>
      <c r="I244" s="18">
        <v>30854.18</v>
      </c>
      <c r="J244" s="18"/>
      <c r="K244" s="18"/>
      <c r="L244" s="19">
        <f t="shared" si="4"/>
        <v>448802.97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94428.83</v>
      </c>
      <c r="G245" s="18">
        <v>109046.69</v>
      </c>
      <c r="H245" s="18">
        <v>41890.85</v>
      </c>
      <c r="I245" s="18"/>
      <c r="J245" s="18"/>
      <c r="K245" s="18"/>
      <c r="L245" s="19">
        <f>SUM(F245:K245)</f>
        <v>245366.37000000002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5537914.5300000012</v>
      </c>
      <c r="G247" s="41">
        <f t="shared" si="5"/>
        <v>2692319.28</v>
      </c>
      <c r="H247" s="41">
        <f t="shared" si="5"/>
        <v>1547757.3900000001</v>
      </c>
      <c r="I247" s="41">
        <f t="shared" si="5"/>
        <v>629805.94000000006</v>
      </c>
      <c r="J247" s="41">
        <f t="shared" si="5"/>
        <v>270899.99</v>
      </c>
      <c r="K247" s="41">
        <f t="shared" si="5"/>
        <v>99997.680000000022</v>
      </c>
      <c r="L247" s="41">
        <f t="shared" si="5"/>
        <v>10778694.809999999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>
        <v>12384</v>
      </c>
      <c r="I252" s="18"/>
      <c r="J252" s="18"/>
      <c r="K252" s="18"/>
      <c r="L252" s="19">
        <f t="shared" si="6"/>
        <v>12384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>
        <v>2500</v>
      </c>
      <c r="L253" s="19">
        <f t="shared" si="6"/>
        <v>2500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117884.6</v>
      </c>
      <c r="I255" s="18"/>
      <c r="J255" s="18"/>
      <c r="K255" s="18"/>
      <c r="L255" s="19">
        <f t="shared" si="6"/>
        <v>117884.6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130268.6</v>
      </c>
      <c r="I256" s="41">
        <f t="shared" si="7"/>
        <v>0</v>
      </c>
      <c r="J256" s="41">
        <f t="shared" si="7"/>
        <v>0</v>
      </c>
      <c r="K256" s="41">
        <f t="shared" si="7"/>
        <v>2500</v>
      </c>
      <c r="L256" s="41">
        <f>SUM(F256:K256)</f>
        <v>132768.6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15494865.680000002</v>
      </c>
      <c r="G257" s="41">
        <f t="shared" si="8"/>
        <v>7856735.1199999992</v>
      </c>
      <c r="H257" s="41">
        <f t="shared" si="8"/>
        <v>3919765.9400000004</v>
      </c>
      <c r="I257" s="41">
        <f t="shared" si="8"/>
        <v>1359483.3000000003</v>
      </c>
      <c r="J257" s="41">
        <f t="shared" si="8"/>
        <v>657661.12</v>
      </c>
      <c r="K257" s="41">
        <f t="shared" si="8"/>
        <v>202801.7</v>
      </c>
      <c r="L257" s="41">
        <f t="shared" si="8"/>
        <v>29491312.859999999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1351420.69</v>
      </c>
      <c r="L260" s="19">
        <f>SUM(F260:K260)</f>
        <v>1351420.69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939469.81</v>
      </c>
      <c r="L261" s="19">
        <f>SUM(F261:K261)</f>
        <v>939469.81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30233.63</v>
      </c>
      <c r="L263" s="19">
        <f>SUM(F263:K263)</f>
        <v>30233.63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191524.43</v>
      </c>
      <c r="L265" s="19">
        <f t="shared" si="9"/>
        <v>191524.43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2512648.56</v>
      </c>
      <c r="L270" s="41">
        <f t="shared" si="9"/>
        <v>2512648.56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15494865.680000002</v>
      </c>
      <c r="G271" s="42">
        <f t="shared" si="11"/>
        <v>7856735.1199999992</v>
      </c>
      <c r="H271" s="42">
        <f t="shared" si="11"/>
        <v>3919765.9400000004</v>
      </c>
      <c r="I271" s="42">
        <f t="shared" si="11"/>
        <v>1359483.3000000003</v>
      </c>
      <c r="J271" s="42">
        <f t="shared" si="11"/>
        <v>657661.12</v>
      </c>
      <c r="K271" s="42">
        <f t="shared" si="11"/>
        <v>2715450.2600000002</v>
      </c>
      <c r="L271" s="42">
        <f t="shared" si="11"/>
        <v>32003961.419999998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126451.04</v>
      </c>
      <c r="G276" s="18">
        <v>30363.279999999999</v>
      </c>
      <c r="H276" s="18">
        <v>8101.05</v>
      </c>
      <c r="I276" s="18">
        <v>10387.17</v>
      </c>
      <c r="J276" s="18"/>
      <c r="K276" s="18"/>
      <c r="L276" s="19">
        <f>SUM(F276:K276)</f>
        <v>175302.54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328753.81</v>
      </c>
      <c r="G277" s="18">
        <v>68556.55</v>
      </c>
      <c r="H277" s="18"/>
      <c r="I277" s="18"/>
      <c r="J277" s="18"/>
      <c r="K277" s="18"/>
      <c r="L277" s="19">
        <f>SUM(F277:K277)</f>
        <v>397310.36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8000</v>
      </c>
      <c r="G281" s="18">
        <v>1864.96</v>
      </c>
      <c r="H281" s="18"/>
      <c r="I281" s="18"/>
      <c r="J281" s="18"/>
      <c r="K281" s="18"/>
      <c r="L281" s="19">
        <f t="shared" ref="L281:L287" si="12">SUM(F281:K281)</f>
        <v>9864.9599999999991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35309</v>
      </c>
      <c r="G282" s="18">
        <v>8061.54</v>
      </c>
      <c r="H282" s="18">
        <v>106979.66</v>
      </c>
      <c r="I282" s="18">
        <v>2948.18</v>
      </c>
      <c r="J282" s="18"/>
      <c r="K282" s="18"/>
      <c r="L282" s="19">
        <f t="shared" si="12"/>
        <v>153298.38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74739.520000000004</v>
      </c>
      <c r="I286" s="18"/>
      <c r="J286" s="18"/>
      <c r="K286" s="18">
        <v>16.440000000000001</v>
      </c>
      <c r="L286" s="19">
        <f t="shared" si="12"/>
        <v>74755.960000000006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498513.85</v>
      </c>
      <c r="G290" s="42">
        <f t="shared" si="13"/>
        <v>108846.33</v>
      </c>
      <c r="H290" s="42">
        <f t="shared" si="13"/>
        <v>189820.23</v>
      </c>
      <c r="I290" s="42">
        <f t="shared" si="13"/>
        <v>13335.35</v>
      </c>
      <c r="J290" s="42">
        <f t="shared" si="13"/>
        <v>0</v>
      </c>
      <c r="K290" s="42">
        <f t="shared" si="13"/>
        <v>16.440000000000001</v>
      </c>
      <c r="L290" s="41">
        <f t="shared" si="13"/>
        <v>810532.2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9587.9500000000007</v>
      </c>
      <c r="G295" s="18">
        <v>4047.55</v>
      </c>
      <c r="H295" s="18">
        <v>1720.26</v>
      </c>
      <c r="I295" s="18">
        <v>2916.1</v>
      </c>
      <c r="J295" s="18"/>
      <c r="K295" s="18"/>
      <c r="L295" s="19">
        <f>SUM(F295:K295)</f>
        <v>18271.86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20536.25</v>
      </c>
      <c r="G301" s="18">
        <v>4626.32</v>
      </c>
      <c r="H301" s="18">
        <v>62945.87</v>
      </c>
      <c r="I301" s="18">
        <v>1715.09</v>
      </c>
      <c r="J301" s="18"/>
      <c r="K301" s="18"/>
      <c r="L301" s="19">
        <f t="shared" si="14"/>
        <v>89823.53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40244.35</v>
      </c>
      <c r="I305" s="18"/>
      <c r="J305" s="18"/>
      <c r="K305" s="18">
        <v>9.9499999999999993</v>
      </c>
      <c r="L305" s="19">
        <f t="shared" si="14"/>
        <v>40254.299999999996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30124.2</v>
      </c>
      <c r="G309" s="42">
        <f t="shared" si="15"/>
        <v>8673.869999999999</v>
      </c>
      <c r="H309" s="42">
        <f t="shared" si="15"/>
        <v>104910.48000000001</v>
      </c>
      <c r="I309" s="42">
        <f t="shared" si="15"/>
        <v>4631.1899999999996</v>
      </c>
      <c r="J309" s="42">
        <f t="shared" si="15"/>
        <v>0</v>
      </c>
      <c r="K309" s="42">
        <f t="shared" si="15"/>
        <v>9.9499999999999993</v>
      </c>
      <c r="L309" s="41">
        <f t="shared" si="15"/>
        <v>148349.69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18214.669999999998</v>
      </c>
      <c r="G314" s="18">
        <v>7709.61</v>
      </c>
      <c r="H314" s="18">
        <v>10877.79</v>
      </c>
      <c r="I314" s="18">
        <v>6203.57</v>
      </c>
      <c r="J314" s="18">
        <v>28364.99</v>
      </c>
      <c r="K314" s="18"/>
      <c r="L314" s="19">
        <f>SUM(F314:K314)</f>
        <v>71370.63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v>20029.599999999999</v>
      </c>
      <c r="I315" s="18"/>
      <c r="J315" s="18"/>
      <c r="K315" s="18"/>
      <c r="L315" s="19">
        <f>SUM(F315:K315)</f>
        <v>20029.599999999999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36229.75</v>
      </c>
      <c r="G320" s="18">
        <v>8271.1299999999992</v>
      </c>
      <c r="H320" s="18">
        <v>109289.02</v>
      </c>
      <c r="I320" s="18">
        <v>3025.06</v>
      </c>
      <c r="J320" s="18"/>
      <c r="K320" s="18"/>
      <c r="L320" s="19">
        <f t="shared" si="16"/>
        <v>156814.96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76655.92</v>
      </c>
      <c r="I324" s="18"/>
      <c r="J324" s="18"/>
      <c r="K324" s="18">
        <v>16.86</v>
      </c>
      <c r="L324" s="19">
        <f t="shared" si="16"/>
        <v>76672.78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54444.42</v>
      </c>
      <c r="G328" s="42">
        <f t="shared" si="17"/>
        <v>15980.739999999998</v>
      </c>
      <c r="H328" s="42">
        <f t="shared" si="17"/>
        <v>216852.33000000002</v>
      </c>
      <c r="I328" s="42">
        <f t="shared" si="17"/>
        <v>9228.6299999999992</v>
      </c>
      <c r="J328" s="42">
        <f t="shared" si="17"/>
        <v>28364.99</v>
      </c>
      <c r="K328" s="42">
        <f t="shared" si="17"/>
        <v>16.86</v>
      </c>
      <c r="L328" s="41">
        <f t="shared" si="17"/>
        <v>324887.96999999997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583082.47</v>
      </c>
      <c r="G338" s="41">
        <f t="shared" si="20"/>
        <v>133500.94</v>
      </c>
      <c r="H338" s="41">
        <f t="shared" si="20"/>
        <v>511583.04000000004</v>
      </c>
      <c r="I338" s="41">
        <f t="shared" si="20"/>
        <v>27195.17</v>
      </c>
      <c r="J338" s="41">
        <f t="shared" si="20"/>
        <v>28364.99</v>
      </c>
      <c r="K338" s="41">
        <f t="shared" si="20"/>
        <v>43.25</v>
      </c>
      <c r="L338" s="41">
        <f t="shared" si="20"/>
        <v>1283769.8599999999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1034.9000000000001</v>
      </c>
      <c r="L344" s="19">
        <f t="shared" ref="L344:L350" si="21">SUM(F344:K344)</f>
        <v>1034.9000000000001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1034.9000000000001</v>
      </c>
      <c r="L351" s="41">
        <f>SUM(L341:L350)</f>
        <v>1034.9000000000001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583082.47</v>
      </c>
      <c r="G352" s="41">
        <f>G338</f>
        <v>133500.94</v>
      </c>
      <c r="H352" s="41">
        <f>H338</f>
        <v>511583.04000000004</v>
      </c>
      <c r="I352" s="41">
        <f>I338</f>
        <v>27195.17</v>
      </c>
      <c r="J352" s="41">
        <f>J338</f>
        <v>28364.99</v>
      </c>
      <c r="K352" s="47">
        <f>K338+K351</f>
        <v>1078.1500000000001</v>
      </c>
      <c r="L352" s="41">
        <f>L338+L351</f>
        <v>1284804.7599999998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208100.47</v>
      </c>
      <c r="I358" s="18">
        <v>1312.84</v>
      </c>
      <c r="J358" s="18">
        <v>1444</v>
      </c>
      <c r="K358" s="18">
        <v>45.22</v>
      </c>
      <c r="L358" s="13">
        <f>SUM(F358:K358)</f>
        <v>210902.53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120479.21</v>
      </c>
      <c r="I359" s="18">
        <v>760.06</v>
      </c>
      <c r="J359" s="18">
        <v>758.1</v>
      </c>
      <c r="K359" s="18">
        <v>26.18</v>
      </c>
      <c r="L359" s="19">
        <f>SUM(F359:K359)</f>
        <v>122023.55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219053.13</v>
      </c>
      <c r="I360" s="18">
        <v>1381.94</v>
      </c>
      <c r="J360" s="18">
        <v>1407.9</v>
      </c>
      <c r="K360" s="18">
        <v>47.6</v>
      </c>
      <c r="L360" s="19">
        <f>SUM(F360:K360)</f>
        <v>221890.57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547632.81000000006</v>
      </c>
      <c r="I362" s="47">
        <f t="shared" si="22"/>
        <v>3454.8399999999997</v>
      </c>
      <c r="J362" s="47">
        <f t="shared" si="22"/>
        <v>3610</v>
      </c>
      <c r="K362" s="47">
        <f t="shared" si="22"/>
        <v>119</v>
      </c>
      <c r="L362" s="47">
        <f t="shared" si="22"/>
        <v>554816.65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I358</f>
        <v>1312.84</v>
      </c>
      <c r="G368" s="63">
        <f>I359</f>
        <v>760.06</v>
      </c>
      <c r="H368" s="63">
        <f>I360</f>
        <v>1381.94</v>
      </c>
      <c r="I368" s="56">
        <f>SUM(F368:H368)</f>
        <v>3454.8399999999997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1312.84</v>
      </c>
      <c r="G369" s="47">
        <f>SUM(G367:G368)</f>
        <v>760.06</v>
      </c>
      <c r="H369" s="47">
        <f>SUM(H367:H368)</f>
        <v>1381.94</v>
      </c>
      <c r="I369" s="47">
        <f>SUM(I367:I368)</f>
        <v>3454.8399999999997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10435.700000000001</v>
      </c>
      <c r="I376" s="18"/>
      <c r="J376" s="18"/>
      <c r="K376" s="18"/>
      <c r="L376" s="13">
        <f t="shared" si="23"/>
        <v>10435.700000000001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>
        <v>341118.49</v>
      </c>
      <c r="J379" s="18"/>
      <c r="K379" s="18"/>
      <c r="L379" s="13">
        <f t="shared" si="23"/>
        <v>341118.49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10435.700000000001</v>
      </c>
      <c r="I382" s="41">
        <f t="shared" si="24"/>
        <v>341118.49</v>
      </c>
      <c r="J382" s="47">
        <f t="shared" si="24"/>
        <v>0</v>
      </c>
      <c r="K382" s="47">
        <f t="shared" si="24"/>
        <v>0</v>
      </c>
      <c r="L382" s="47">
        <f t="shared" si="24"/>
        <v>351554.19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f>53660.96-53580.42</f>
        <v>80.540000000000873</v>
      </c>
      <c r="I396" s="18"/>
      <c r="J396" s="24" t="s">
        <v>289</v>
      </c>
      <c r="K396" s="24" t="s">
        <v>289</v>
      </c>
      <c r="L396" s="56">
        <f t="shared" si="26"/>
        <v>80.540000000000873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f>227699.2-227357.43</f>
        <v>341.77000000001863</v>
      </c>
      <c r="I397" s="18"/>
      <c r="J397" s="24" t="s">
        <v>289</v>
      </c>
      <c r="K397" s="24" t="s">
        <v>289</v>
      </c>
      <c r="L397" s="56">
        <f t="shared" si="26"/>
        <v>341.77000000001863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422.3100000000195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422.3100000000195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422.3100000000195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422.3100000000195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f>53660.96</f>
        <v>53660.959999999999</v>
      </c>
      <c r="L422" s="56">
        <f t="shared" si="29"/>
        <v>53660.959999999999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53660.959999999999</v>
      </c>
      <c r="L427" s="47">
        <f t="shared" si="30"/>
        <v>53660.959999999999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53660.959999999999</v>
      </c>
      <c r="L434" s="47">
        <f t="shared" si="32"/>
        <v>53660.959999999999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227699.2+53660.96</f>
        <v>281360.16000000003</v>
      </c>
      <c r="G439" s="18"/>
      <c r="H439" s="18"/>
      <c r="I439" s="56">
        <f t="shared" ref="I439:I445" si="33">SUM(F439:H439)</f>
        <v>281360.16000000003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281360.16000000003</v>
      </c>
      <c r="G446" s="13">
        <f>SUM(G439:G445)</f>
        <v>0</v>
      </c>
      <c r="H446" s="13">
        <f>SUM(H439:H445)</f>
        <v>0</v>
      </c>
      <c r="I446" s="13">
        <f>SUM(I439:I445)</f>
        <v>281360.16000000003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53660.959999999999</v>
      </c>
      <c r="G449" s="18"/>
      <c r="H449" s="18"/>
      <c r="I449" s="56">
        <f>SUM(F449:H449)</f>
        <v>53660.959999999999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53660.959999999999</v>
      </c>
      <c r="G452" s="72">
        <f>SUM(G448:G451)</f>
        <v>0</v>
      </c>
      <c r="H452" s="72">
        <f>SUM(H448:H451)</f>
        <v>0</v>
      </c>
      <c r="I452" s="72">
        <f>SUM(I448:I451)</f>
        <v>53660.959999999999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F446-F452</f>
        <v>227699.20000000004</v>
      </c>
      <c r="G459" s="18"/>
      <c r="H459" s="18"/>
      <c r="I459" s="56">
        <f t="shared" si="34"/>
        <v>227699.20000000004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227699.20000000004</v>
      </c>
      <c r="G460" s="83">
        <f>SUM(G454:G459)</f>
        <v>0</v>
      </c>
      <c r="H460" s="83">
        <f>SUM(H454:H459)</f>
        <v>0</v>
      </c>
      <c r="I460" s="83">
        <f>SUM(I454:I459)</f>
        <v>227699.20000000004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281360.16000000003</v>
      </c>
      <c r="G461" s="42">
        <f>G452+G460</f>
        <v>0</v>
      </c>
      <c r="H461" s="42">
        <f>H452+H460</f>
        <v>0</v>
      </c>
      <c r="I461" s="42">
        <f>I452+I460</f>
        <v>281360.16000000003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1051216.17+7263.7+722673.93</f>
        <v>1781153.7999999998</v>
      </c>
      <c r="G465" s="18">
        <f>27975.7</f>
        <v>27975.7</v>
      </c>
      <c r="H465" s="18">
        <f>473016.13</f>
        <v>473016.13</v>
      </c>
      <c r="I465" s="18">
        <v>0</v>
      </c>
      <c r="J465" s="18">
        <f>227357.43+53580.42</f>
        <v>280937.84999999998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32238609.379999999</v>
      </c>
      <c r="G468" s="18">
        <f>G193</f>
        <v>550686.22</v>
      </c>
      <c r="H468" s="18">
        <f>H193</f>
        <v>1137487.97</v>
      </c>
      <c r="I468" s="18">
        <f>I193</f>
        <v>351554.19</v>
      </c>
      <c r="J468" s="18">
        <f>227699.2+53660.96-J465</f>
        <v>422.31000000005588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32238609.379999999</v>
      </c>
      <c r="G470" s="53">
        <f>SUM(G468:G469)</f>
        <v>550686.22</v>
      </c>
      <c r="H470" s="53">
        <f>SUM(H468:H469)</f>
        <v>1137487.97</v>
      </c>
      <c r="I470" s="53">
        <f>SUM(I468:I469)</f>
        <v>351554.19</v>
      </c>
      <c r="J470" s="53">
        <f>SUM(J468:J469)</f>
        <v>422.31000000005588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32003961.419999998</v>
      </c>
      <c r="G472" s="18">
        <f>L362</f>
        <v>554816.65</v>
      </c>
      <c r="H472" s="18">
        <f>L352</f>
        <v>1284804.7599999998</v>
      </c>
      <c r="I472" s="18">
        <f>L382</f>
        <v>351554.19</v>
      </c>
      <c r="J472" s="18">
        <f>L434</f>
        <v>53660.959999999999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32003961.419999998</v>
      </c>
      <c r="G474" s="53">
        <f>SUM(G472:G473)</f>
        <v>554816.65</v>
      </c>
      <c r="H474" s="53">
        <f>SUM(H472:H473)</f>
        <v>1284804.7599999998</v>
      </c>
      <c r="I474" s="53">
        <f>SUM(I472:I473)</f>
        <v>351554.19</v>
      </c>
      <c r="J474" s="53">
        <f>SUM(J472:J473)</f>
        <v>53660.959999999999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2015801.7600000016</v>
      </c>
      <c r="G476" s="53">
        <f>(G465+G470)- G474</f>
        <v>23845.269999999902</v>
      </c>
      <c r="H476" s="53">
        <f>(H465+H470)- H474</f>
        <v>325699.34000000032</v>
      </c>
      <c r="I476" s="53">
        <f>(I465+I470)- I474</f>
        <v>0</v>
      </c>
      <c r="J476" s="53">
        <f>(J465+J470)- J474</f>
        <v>227699.20000000004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29770200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204">
        <v>17521815.93</v>
      </c>
      <c r="G495" s="18"/>
      <c r="H495" s="18"/>
      <c r="I495" s="18"/>
      <c r="J495" s="18"/>
      <c r="K495" s="53">
        <f>SUM(F495:J495)</f>
        <v>17521815.93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1351420.69</v>
      </c>
      <c r="G497" s="18"/>
      <c r="H497" s="18"/>
      <c r="I497" s="18"/>
      <c r="J497" s="18"/>
      <c r="K497" s="53">
        <f t="shared" si="35"/>
        <v>1351420.69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16170395.24</v>
      </c>
      <c r="G498" s="204"/>
      <c r="H498" s="204"/>
      <c r="I498" s="204"/>
      <c r="J498" s="204"/>
      <c r="K498" s="205">
        <f t="shared" si="35"/>
        <v>16170395.24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12043758.33-939469.81</f>
        <v>11104288.52</v>
      </c>
      <c r="G499" s="18"/>
      <c r="H499" s="18"/>
      <c r="I499" s="18"/>
      <c r="J499" s="18"/>
      <c r="K499" s="53">
        <f t="shared" si="35"/>
        <v>11104288.52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27274683.759999998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27274683.759999998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f>1080927.82+205824.37</f>
        <v>1286752.19</v>
      </c>
      <c r="G501" s="204"/>
      <c r="H501" s="204"/>
      <c r="I501" s="204"/>
      <c r="J501" s="204"/>
      <c r="K501" s="205">
        <f t="shared" si="35"/>
        <v>1286752.19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880365.93+176969.38-28322-40000</f>
        <v>989013.31</v>
      </c>
      <c r="G502" s="18"/>
      <c r="H502" s="18"/>
      <c r="I502" s="18"/>
      <c r="J502" s="18"/>
      <c r="K502" s="53">
        <f t="shared" si="35"/>
        <v>989013.31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2275765.5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2275765.5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1101126.8899999999</v>
      </c>
      <c r="G511" s="24" t="s">
        <v>289</v>
      </c>
      <c r="H511" s="18">
        <f>F511</f>
        <v>1101126.8899999999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265614.06</v>
      </c>
      <c r="G512" s="24" t="s">
        <v>289</v>
      </c>
      <c r="H512" s="18">
        <v>246875.06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f>28464179.46+1750369.6</f>
        <v>30214549.060000002</v>
      </c>
      <c r="G513" s="24" t="s">
        <v>289</v>
      </c>
      <c r="H513" s="18">
        <v>30086082.539999999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f>557853.87+23908.41+140821.17</f>
        <v>722583.45000000007</v>
      </c>
      <c r="G514" s="24" t="s">
        <v>289</v>
      </c>
      <c r="H514" s="18">
        <v>677920.57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78284.53</v>
      </c>
      <c r="G515" s="24" t="s">
        <v>289</v>
      </c>
      <c r="H515" s="18">
        <f>16730</f>
        <v>16730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32382157.989999998</v>
      </c>
      <c r="H516" s="24" t="s">
        <v>289</v>
      </c>
      <c r="I516" s="18">
        <v>32128735.059999999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32382157.990000002</v>
      </c>
      <c r="G517" s="42">
        <f>SUM(G511:G516)</f>
        <v>32382157.989999998</v>
      </c>
      <c r="H517" s="42">
        <f>SUM(H511:H516)</f>
        <v>32128735.059999999</v>
      </c>
      <c r="I517" s="42">
        <f>SUM(I511:I516)</f>
        <v>32128735.059999999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F198+F277-F562-F567</f>
        <v>1637269.77</v>
      </c>
      <c r="G521" s="18">
        <f t="shared" ref="G521:J521" si="36">G198+G277-G562-G567</f>
        <v>754800.54</v>
      </c>
      <c r="H521" s="18">
        <f t="shared" si="36"/>
        <v>417595.76</v>
      </c>
      <c r="I521" s="18">
        <f t="shared" si="36"/>
        <v>8579.75</v>
      </c>
      <c r="J521" s="18">
        <f t="shared" si="36"/>
        <v>1587.98</v>
      </c>
      <c r="K521" s="18"/>
      <c r="L521" s="88">
        <f>SUM(F521:K521)</f>
        <v>2819833.8000000003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F216+F296-F563-F568</f>
        <v>454486.85</v>
      </c>
      <c r="G522" s="18">
        <f t="shared" ref="G522:J522" si="37">G216+G296-G563-G568</f>
        <v>296172.79999999999</v>
      </c>
      <c r="H522" s="18">
        <f t="shared" si="37"/>
        <v>280307.92000000004</v>
      </c>
      <c r="I522" s="18">
        <f t="shared" si="37"/>
        <v>7629.9099999999989</v>
      </c>
      <c r="J522" s="18">
        <f t="shared" si="37"/>
        <v>240.18</v>
      </c>
      <c r="K522" s="18"/>
      <c r="L522" s="88">
        <f>SUM(F522:K522)</f>
        <v>1038837.66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F234+F315-F564-F569</f>
        <v>638670.61</v>
      </c>
      <c r="G523" s="18">
        <f t="shared" ref="G523:J523" si="38">G234+G315-G564-G569</f>
        <v>359128</v>
      </c>
      <c r="H523" s="18">
        <f t="shared" si="38"/>
        <v>372272.58999999997</v>
      </c>
      <c r="I523" s="18">
        <f t="shared" si="38"/>
        <v>10768.7</v>
      </c>
      <c r="J523" s="18">
        <f t="shared" si="38"/>
        <v>436.7</v>
      </c>
      <c r="K523" s="18"/>
      <c r="L523" s="88">
        <f>SUM(F523:K523)</f>
        <v>1381276.5999999999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2730427.23</v>
      </c>
      <c r="G524" s="108">
        <f t="shared" ref="G524:L524" si="39">SUM(G521:G523)</f>
        <v>1410101.34</v>
      </c>
      <c r="H524" s="108">
        <f t="shared" si="39"/>
        <v>1070176.27</v>
      </c>
      <c r="I524" s="108">
        <f t="shared" si="39"/>
        <v>26978.36</v>
      </c>
      <c r="J524" s="108">
        <f t="shared" si="39"/>
        <v>2264.86</v>
      </c>
      <c r="K524" s="108">
        <f t="shared" si="39"/>
        <v>0</v>
      </c>
      <c r="L524" s="89">
        <f t="shared" si="39"/>
        <v>5239948.0600000005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2736+174042.8+177379</f>
        <v>354157.8</v>
      </c>
      <c r="G526" s="18">
        <f>624.9+63954.59+98230.31</f>
        <v>162809.79999999999</v>
      </c>
      <c r="H526" s="18">
        <f>106800</f>
        <v>106800</v>
      </c>
      <c r="I526" s="18"/>
      <c r="J526" s="18"/>
      <c r="K526" s="18"/>
      <c r="L526" s="88">
        <f>SUM(F526:K526)</f>
        <v>623767.6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61881+1656</f>
        <v>63537</v>
      </c>
      <c r="G527" s="18">
        <f>38190.59+378.23</f>
        <v>38568.82</v>
      </c>
      <c r="H527" s="18">
        <f>34600</f>
        <v>34600</v>
      </c>
      <c r="I527" s="18"/>
      <c r="J527" s="18"/>
      <c r="K527" s="18"/>
      <c r="L527" s="88">
        <f>SUM(F527:K527)</f>
        <v>136705.82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2808+66648</f>
        <v>69456</v>
      </c>
      <c r="G528" s="18">
        <f>641.34+39310.85</f>
        <v>39952.189999999995</v>
      </c>
      <c r="H528" s="18">
        <f>50073</f>
        <v>50073</v>
      </c>
      <c r="I528" s="18"/>
      <c r="J528" s="18"/>
      <c r="K528" s="18"/>
      <c r="L528" s="88">
        <f>SUM(F528:K528)</f>
        <v>159481.19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487150.8</v>
      </c>
      <c r="G529" s="89">
        <f t="shared" ref="G529:L529" si="40">SUM(G526:G528)</f>
        <v>241330.81</v>
      </c>
      <c r="H529" s="89">
        <f t="shared" si="40"/>
        <v>191473</v>
      </c>
      <c r="I529" s="89">
        <f t="shared" si="40"/>
        <v>0</v>
      </c>
      <c r="J529" s="89">
        <f t="shared" si="40"/>
        <v>0</v>
      </c>
      <c r="K529" s="89">
        <f t="shared" si="40"/>
        <v>0</v>
      </c>
      <c r="L529" s="89">
        <f t="shared" si="40"/>
        <v>919954.60999999987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62700.82</f>
        <v>62700.82</v>
      </c>
      <c r="G531" s="18">
        <f>27152.45</f>
        <v>27152.45</v>
      </c>
      <c r="H531" s="18">
        <f>2771.97</f>
        <v>2771.97</v>
      </c>
      <c r="I531" s="18">
        <f>2540.26</f>
        <v>2540.2600000000002</v>
      </c>
      <c r="J531" s="18"/>
      <c r="K531" s="18">
        <v>790.06</v>
      </c>
      <c r="L531" s="88">
        <f>SUM(F531:K531)</f>
        <v>95955.56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37950.5</f>
        <v>37950.5</v>
      </c>
      <c r="G532" s="18">
        <f>16434.38</f>
        <v>16434.38</v>
      </c>
      <c r="H532" s="18">
        <f>1677.77</f>
        <v>1677.77</v>
      </c>
      <c r="I532" s="18">
        <f>1537.52</f>
        <v>1537.52</v>
      </c>
      <c r="J532" s="18"/>
      <c r="K532" s="18">
        <f>478.19</f>
        <v>478.19</v>
      </c>
      <c r="L532" s="88">
        <f>SUM(F532:K532)</f>
        <v>58078.36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64350.85</f>
        <v>64350.85</v>
      </c>
      <c r="G533" s="18">
        <f>27866.99</f>
        <v>27866.99</v>
      </c>
      <c r="H533" s="18">
        <f>2844.92</f>
        <v>2844.92</v>
      </c>
      <c r="I533" s="18">
        <f>2607.11</f>
        <v>2607.11</v>
      </c>
      <c r="J533" s="18"/>
      <c r="K533" s="18">
        <v>810.85</v>
      </c>
      <c r="L533" s="88">
        <f>SUM(F533:K533)</f>
        <v>98480.72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165002.17000000001</v>
      </c>
      <c r="G534" s="89">
        <f t="shared" ref="G534:L534" si="41">SUM(G531:G533)</f>
        <v>71453.820000000007</v>
      </c>
      <c r="H534" s="89">
        <f t="shared" si="41"/>
        <v>7294.66</v>
      </c>
      <c r="I534" s="89">
        <f t="shared" si="41"/>
        <v>6684.89</v>
      </c>
      <c r="J534" s="89">
        <f t="shared" si="41"/>
        <v>0</v>
      </c>
      <c r="K534" s="89">
        <f t="shared" si="41"/>
        <v>2079.1</v>
      </c>
      <c r="L534" s="89">
        <f t="shared" si="41"/>
        <v>252514.63999999998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2957.84</f>
        <v>2957.84</v>
      </c>
      <c r="I536" s="18"/>
      <c r="J536" s="18"/>
      <c r="K536" s="18"/>
      <c r="L536" s="88">
        <f>SUM(F536:K536)</f>
        <v>2957.84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1790.27</f>
        <v>1790.27</v>
      </c>
      <c r="I537" s="18"/>
      <c r="J537" s="18"/>
      <c r="K537" s="18"/>
      <c r="L537" s="88">
        <f>SUM(F537:K537)</f>
        <v>1790.27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3035.68</f>
        <v>3035.68</v>
      </c>
      <c r="I538" s="18"/>
      <c r="J538" s="18"/>
      <c r="K538" s="18"/>
      <c r="L538" s="88">
        <f>SUM(F538:K538)</f>
        <v>3035.68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7783.7900000000009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7783.7900000000009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149854.92</f>
        <v>149854.92000000001</v>
      </c>
      <c r="I541" s="18"/>
      <c r="J541" s="18"/>
      <c r="K541" s="18"/>
      <c r="L541" s="88">
        <f>SUM(F541:K541)</f>
        <v>149854.92000000001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56209.52</f>
        <v>56209.52</v>
      </c>
      <c r="I542" s="18"/>
      <c r="J542" s="18"/>
      <c r="K542" s="18"/>
      <c r="L542" s="88">
        <f>SUM(F542:K542)</f>
        <v>56209.52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28325.2</f>
        <v>28325.200000000001</v>
      </c>
      <c r="I543" s="18"/>
      <c r="J543" s="18"/>
      <c r="K543" s="18"/>
      <c r="L543" s="88">
        <f>SUM(F543:K543)</f>
        <v>28325.200000000001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234389.64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234389.64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3382580.1999999997</v>
      </c>
      <c r="G545" s="89">
        <f t="shared" ref="G545:L545" si="44">G524+G529+G534+G539+G544</f>
        <v>1722885.9700000002</v>
      </c>
      <c r="H545" s="89">
        <f t="shared" si="44"/>
        <v>1511117.3599999999</v>
      </c>
      <c r="I545" s="89">
        <f t="shared" si="44"/>
        <v>33663.25</v>
      </c>
      <c r="J545" s="89">
        <f t="shared" si="44"/>
        <v>2264.86</v>
      </c>
      <c r="K545" s="89">
        <f t="shared" si="44"/>
        <v>2079.1</v>
      </c>
      <c r="L545" s="89">
        <f t="shared" si="44"/>
        <v>6654590.7399999993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2819833.8000000003</v>
      </c>
      <c r="G549" s="87">
        <f>L526</f>
        <v>623767.6</v>
      </c>
      <c r="H549" s="87">
        <f>L531</f>
        <v>95955.56</v>
      </c>
      <c r="I549" s="87">
        <f>L536</f>
        <v>2957.84</v>
      </c>
      <c r="J549" s="87">
        <f>L541</f>
        <v>149854.92000000001</v>
      </c>
      <c r="K549" s="87">
        <f>SUM(F549:J549)</f>
        <v>3692369.72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1038837.66</v>
      </c>
      <c r="G550" s="87">
        <f>L527</f>
        <v>136705.82</v>
      </c>
      <c r="H550" s="87">
        <f>L532</f>
        <v>58078.36</v>
      </c>
      <c r="I550" s="87">
        <f>L537</f>
        <v>1790.27</v>
      </c>
      <c r="J550" s="87">
        <f>L542</f>
        <v>56209.52</v>
      </c>
      <c r="K550" s="87">
        <f>SUM(F550:J550)</f>
        <v>1291621.6300000001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1381276.5999999999</v>
      </c>
      <c r="G551" s="87">
        <f>L528</f>
        <v>159481.19</v>
      </c>
      <c r="H551" s="87">
        <f>L533</f>
        <v>98480.72</v>
      </c>
      <c r="I551" s="87">
        <f>L538</f>
        <v>3035.68</v>
      </c>
      <c r="J551" s="87">
        <f>L543</f>
        <v>28325.200000000001</v>
      </c>
      <c r="K551" s="87">
        <f>SUM(F551:J551)</f>
        <v>1670599.3899999997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5239948.0600000005</v>
      </c>
      <c r="G552" s="89">
        <f t="shared" si="45"/>
        <v>919954.60999999987</v>
      </c>
      <c r="H552" s="89">
        <f t="shared" si="45"/>
        <v>252514.63999999998</v>
      </c>
      <c r="I552" s="89">
        <f t="shared" si="45"/>
        <v>7783.7900000000009</v>
      </c>
      <c r="J552" s="89">
        <f t="shared" si="45"/>
        <v>234389.64</v>
      </c>
      <c r="K552" s="89">
        <f t="shared" si="45"/>
        <v>6654590.7400000002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7917.3</f>
        <v>7917.3</v>
      </c>
      <c r="G562" s="18">
        <f>724.7</f>
        <v>724.7</v>
      </c>
      <c r="H562" s="18">
        <f>200</f>
        <v>200</v>
      </c>
      <c r="I562" s="18">
        <f>48+1433.11</f>
        <v>1481.11</v>
      </c>
      <c r="J562" s="18"/>
      <c r="K562" s="18"/>
      <c r="L562" s="88">
        <f>SUM(F562:K562)</f>
        <v>10323.11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4792.5</f>
        <v>4792.5</v>
      </c>
      <c r="G563" s="18">
        <f>438.63</f>
        <v>438.63</v>
      </c>
      <c r="H563" s="18">
        <v>95.66</v>
      </c>
      <c r="I563" s="18">
        <v>24</v>
      </c>
      <c r="J563" s="18"/>
      <c r="K563" s="18"/>
      <c r="L563" s="88">
        <f>SUM(F563:K563)</f>
        <v>5350.79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8125.65</f>
        <v>8125.65</v>
      </c>
      <c r="G564" s="18">
        <f>743.77</f>
        <v>743.77</v>
      </c>
      <c r="H564" s="18">
        <f>471.13</f>
        <v>471.13</v>
      </c>
      <c r="I564" s="18">
        <v>24</v>
      </c>
      <c r="J564" s="18"/>
      <c r="K564" s="18"/>
      <c r="L564" s="88">
        <f>SUM(F564:K564)</f>
        <v>9364.5499999999993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20835.449999999997</v>
      </c>
      <c r="G565" s="89">
        <f t="shared" si="47"/>
        <v>1907.1</v>
      </c>
      <c r="H565" s="89">
        <f t="shared" si="47"/>
        <v>766.79</v>
      </c>
      <c r="I565" s="89">
        <f t="shared" si="47"/>
        <v>1529.11</v>
      </c>
      <c r="J565" s="89">
        <f t="shared" si="47"/>
        <v>0</v>
      </c>
      <c r="K565" s="89">
        <f t="shared" si="47"/>
        <v>0</v>
      </c>
      <c r="L565" s="89">
        <f t="shared" si="47"/>
        <v>25038.45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f>65571+50224</f>
        <v>115795</v>
      </c>
      <c r="G567" s="18">
        <f>23746.5+13840.59+75+75+4668.19+3317.37+10274.98+7870.2+81.21+81.17+216.33+165.64</f>
        <v>64412.18</v>
      </c>
      <c r="H567" s="18">
        <f>6163.25+1850</f>
        <v>8013.25</v>
      </c>
      <c r="I567" s="18"/>
      <c r="J567" s="18"/>
      <c r="K567" s="18"/>
      <c r="L567" s="88">
        <f>SUM(F567:K567)</f>
        <v>188220.43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f>42501</f>
        <v>42501</v>
      </c>
      <c r="G568" s="18">
        <f>19788.75+75+3083.19+6659.9+179.17+140.16</f>
        <v>29926.169999999995</v>
      </c>
      <c r="H568" s="18"/>
      <c r="I568" s="18">
        <v>618.22</v>
      </c>
      <c r="J568" s="18"/>
      <c r="K568" s="18"/>
      <c r="L568" s="88">
        <f>SUM(F568:K568)</f>
        <v>73045.39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158296</v>
      </c>
      <c r="G570" s="193">
        <f t="shared" ref="G570:L570" si="48">SUM(G567:G569)</f>
        <v>94338.349999999991</v>
      </c>
      <c r="H570" s="193">
        <f t="shared" si="48"/>
        <v>8013.25</v>
      </c>
      <c r="I570" s="193">
        <f t="shared" si="48"/>
        <v>618.22</v>
      </c>
      <c r="J570" s="193">
        <f t="shared" si="48"/>
        <v>0</v>
      </c>
      <c r="K570" s="193">
        <f t="shared" si="48"/>
        <v>0</v>
      </c>
      <c r="L570" s="193">
        <f t="shared" si="48"/>
        <v>261265.82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179131.45</v>
      </c>
      <c r="G571" s="89">
        <f t="shared" ref="G571:L571" si="49">G560+G565+G570</f>
        <v>96245.45</v>
      </c>
      <c r="H571" s="89">
        <f t="shared" si="49"/>
        <v>8780.0400000000009</v>
      </c>
      <c r="I571" s="89">
        <f t="shared" si="49"/>
        <v>2147.33</v>
      </c>
      <c r="J571" s="89">
        <f t="shared" si="49"/>
        <v>0</v>
      </c>
      <c r="K571" s="89">
        <f t="shared" si="49"/>
        <v>0</v>
      </c>
      <c r="L571" s="89">
        <f t="shared" si="49"/>
        <v>286304.27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5955</v>
      </c>
      <c r="I575" s="87">
        <f>SUM(F575:H575)</f>
        <v>5955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43719</v>
      </c>
      <c r="I579" s="87">
        <f t="shared" si="50"/>
        <v>43719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340210.36</v>
      </c>
      <c r="G580" s="18"/>
      <c r="H580" s="18">
        <v>190044.06</v>
      </c>
      <c r="I580" s="87">
        <f t="shared" si="50"/>
        <v>530254.41999999993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193195.51999999999</v>
      </c>
      <c r="H582" s="18">
        <v>50137.71</v>
      </c>
      <c r="I582" s="87">
        <f t="shared" si="50"/>
        <v>243333.22999999998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183358</v>
      </c>
      <c r="I584" s="87">
        <f t="shared" si="50"/>
        <v>183358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324420.27+7986.42</f>
        <v>332406.69</v>
      </c>
      <c r="I591" s="18">
        <f>196359.64+21224.45</f>
        <v>217584.09000000003</v>
      </c>
      <c r="J591" s="18">
        <f>332957.65-29210.87</f>
        <v>303746.78000000003</v>
      </c>
      <c r="K591" s="104">
        <f t="shared" ref="K591:K597" si="51">SUM(H591:J591)</f>
        <v>853737.56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48436.6+76287.74+24369.1+761.48</f>
        <v>149854.92000000001</v>
      </c>
      <c r="I592" s="18">
        <f>56209.52</f>
        <v>56209.52</v>
      </c>
      <c r="J592" s="18">
        <f>27867.1+458.1</f>
        <v>28325.199999999997</v>
      </c>
      <c r="K592" s="104">
        <f t="shared" si="51"/>
        <v>234389.64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46155</v>
      </c>
      <c r="K593" s="104">
        <f t="shared" si="51"/>
        <v>46155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26022</v>
      </c>
      <c r="J594" s="18">
        <v>58712.73</v>
      </c>
      <c r="K594" s="104">
        <f t="shared" si="51"/>
        <v>84734.73000000001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f>8827</f>
        <v>8827</v>
      </c>
      <c r="J595" s="18">
        <f>536+11327.26</f>
        <v>11863.26</v>
      </c>
      <c r="K595" s="104">
        <f t="shared" si="51"/>
        <v>20690.260000000002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482261.61</v>
      </c>
      <c r="I598" s="108">
        <f>SUM(I591:I597)</f>
        <v>308642.61000000004</v>
      </c>
      <c r="J598" s="108">
        <f>SUM(J591:J597)</f>
        <v>448802.97000000003</v>
      </c>
      <c r="K598" s="108">
        <f>SUM(K591:K597)</f>
        <v>1239707.1900000002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198259.16</v>
      </c>
      <c r="I604" s="18">
        <v>190312.77</v>
      </c>
      <c r="J604" s="18">
        <f>269089.18+28365</f>
        <v>297454.18</v>
      </c>
      <c r="K604" s="104">
        <f>SUM(H604:J604)</f>
        <v>686026.11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198259.16</v>
      </c>
      <c r="I605" s="108">
        <f>SUM(I602:I604)</f>
        <v>190312.77</v>
      </c>
      <c r="J605" s="108">
        <f>SUM(J602:J604)</f>
        <v>297454.18</v>
      </c>
      <c r="K605" s="108">
        <f>SUM(K602:K604)</f>
        <v>686026.11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4453</f>
        <v>4453</v>
      </c>
      <c r="G613" s="18">
        <f>340.67+274.96+18.67+14.68</f>
        <v>648.9799999999999</v>
      </c>
      <c r="H613" s="18"/>
      <c r="I613" s="18">
        <f>166.29</f>
        <v>166.29</v>
      </c>
      <c r="J613" s="18"/>
      <c r="K613" s="18"/>
      <c r="L613" s="88">
        <f>SUM(F613:K613)</f>
        <v>5268.2699999999995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4453</v>
      </c>
      <c r="G614" s="108">
        <f t="shared" si="52"/>
        <v>648.9799999999999</v>
      </c>
      <c r="H614" s="108">
        <f t="shared" si="52"/>
        <v>0</v>
      </c>
      <c r="I614" s="108">
        <f t="shared" si="52"/>
        <v>166.29</v>
      </c>
      <c r="J614" s="108">
        <f t="shared" si="52"/>
        <v>0</v>
      </c>
      <c r="K614" s="108">
        <f t="shared" si="52"/>
        <v>0</v>
      </c>
      <c r="L614" s="89">
        <f t="shared" si="52"/>
        <v>5268.2699999999995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2774155.2100000004</v>
      </c>
      <c r="H617" s="109">
        <f>SUM(F52)</f>
        <v>2774155.21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47141.69</v>
      </c>
      <c r="H618" s="109">
        <f>SUM(G52)</f>
        <v>47141.69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612727.42000000004</v>
      </c>
      <c r="H619" s="109">
        <f>SUM(H52)</f>
        <v>612727.42000000004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281360.16000000003</v>
      </c>
      <c r="H621" s="109">
        <f>SUM(J52)</f>
        <v>281360.16000000003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2015801.7599999998</v>
      </c>
      <c r="H622" s="109">
        <f>F476</f>
        <v>2015801.7600000016</v>
      </c>
      <c r="I622" s="121" t="s">
        <v>101</v>
      </c>
      <c r="J622" s="109">
        <f t="shared" ref="J622:J655" si="53">G622-H622</f>
        <v>-1.862645149230957E-9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23845.270000000004</v>
      </c>
      <c r="H623" s="109">
        <f>G476</f>
        <v>23845.269999999902</v>
      </c>
      <c r="I623" s="121" t="s">
        <v>102</v>
      </c>
      <c r="J623" s="109">
        <f t="shared" si="53"/>
        <v>1.0186340659856796E-10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325699.34000000003</v>
      </c>
      <c r="H624" s="109">
        <f>H476</f>
        <v>325699.34000000032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227699.20000000004</v>
      </c>
      <c r="H626" s="109">
        <f>J476</f>
        <v>227699.20000000004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32238609.379999999</v>
      </c>
      <c r="H627" s="104">
        <f>SUM(F468)</f>
        <v>32238609.379999999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550686.22</v>
      </c>
      <c r="H628" s="104">
        <f>SUM(G468)</f>
        <v>550686.22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1137487.97</v>
      </c>
      <c r="H629" s="104">
        <f>SUM(H468)</f>
        <v>1137487.97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351554.19</v>
      </c>
      <c r="H630" s="104">
        <f>SUM(I468)</f>
        <v>351554.19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422.3100000000195</v>
      </c>
      <c r="H631" s="104">
        <f>SUM(J468)</f>
        <v>422.31000000005588</v>
      </c>
      <c r="I631" s="140" t="s">
        <v>110</v>
      </c>
      <c r="J631" s="109">
        <f>G631-H631</f>
        <v>-3.637978807091713E-11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32003961.419999998</v>
      </c>
      <c r="H632" s="104">
        <f>SUM(F472)</f>
        <v>32003961.419999998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1284804.7599999998</v>
      </c>
      <c r="H633" s="104">
        <f>SUM(H472)</f>
        <v>1284804.7599999998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3454.8399999999997</v>
      </c>
      <c r="H634" s="104">
        <f>I369</f>
        <v>3454.8399999999997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554816.65</v>
      </c>
      <c r="H635" s="104">
        <f>SUM(G472)</f>
        <v>554816.65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351554.19</v>
      </c>
      <c r="H636" s="104">
        <f>SUM(I472)</f>
        <v>351554.19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422.3100000000195</v>
      </c>
      <c r="H637" s="164">
        <f>SUM(J468)</f>
        <v>422.31000000005588</v>
      </c>
      <c r="I637" s="165" t="s">
        <v>110</v>
      </c>
      <c r="J637" s="151">
        <f t="shared" si="53"/>
        <v>-3.637978807091713E-11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53660.959999999999</v>
      </c>
      <c r="H638" s="164">
        <f>SUM(J472)</f>
        <v>53660.959999999999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281360.16000000003</v>
      </c>
      <c r="H639" s="104">
        <f>SUM(F461)</f>
        <v>281360.16000000003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281360.16000000003</v>
      </c>
      <c r="H642" s="104">
        <f>SUM(I461)</f>
        <v>281360.16000000003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422.3100000000195</v>
      </c>
      <c r="H644" s="104">
        <f>H408</f>
        <v>422.3100000000195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422.3100000000195</v>
      </c>
      <c r="H646" s="104">
        <f>L408</f>
        <v>422.3100000000195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1239707.1900000002</v>
      </c>
      <c r="H647" s="104">
        <f>L208+L226+L244</f>
        <v>1239707.19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686026.11</v>
      </c>
      <c r="H648" s="104">
        <f>(J257+J338)-(J255+J336)</f>
        <v>686026.11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482261.61</v>
      </c>
      <c r="H649" s="104">
        <f>H598</f>
        <v>482261.61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308642.61</v>
      </c>
      <c r="H650" s="104">
        <f>I598</f>
        <v>308642.61000000004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448802.97</v>
      </c>
      <c r="H651" s="104">
        <f>J598</f>
        <v>448802.97000000003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30233.63</v>
      </c>
      <c r="H652" s="104">
        <f>K263+K345</f>
        <v>30233.63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191524.43</v>
      </c>
      <c r="H654" s="104">
        <f>K265+K346</f>
        <v>191524.43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13153517.639999997</v>
      </c>
      <c r="G660" s="19">
        <f>(L229+L309+L359)</f>
        <v>6718139.7800000003</v>
      </c>
      <c r="H660" s="19">
        <f>(L247+L328+L360)</f>
        <v>11325473.35</v>
      </c>
      <c r="I660" s="19">
        <f>SUM(F660:H660)</f>
        <v>31197130.769999996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142827.38030502599</v>
      </c>
      <c r="G661" s="19">
        <f>(L359/IF(SUM(L358:L360)=0,1,SUM(L358:L360))*(SUM(G97:G110)))</f>
        <v>82636.770559458688</v>
      </c>
      <c r="H661" s="19">
        <f>(L360/IF(SUM(L358:L360)=0,1,SUM(L358:L360))*(SUM(G97:G110)))</f>
        <v>150268.69913551531</v>
      </c>
      <c r="I661" s="19">
        <f>SUM(F661:H661)</f>
        <v>375732.85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482261.61</v>
      </c>
      <c r="G662" s="19">
        <f>(L226+L306)-(J226+J306)</f>
        <v>308642.61</v>
      </c>
      <c r="H662" s="19">
        <f>(L244+L325)-(J244+J325)</f>
        <v>448802.97</v>
      </c>
      <c r="I662" s="19">
        <f>SUM(F662:H662)</f>
        <v>1239707.19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538469.52</v>
      </c>
      <c r="G663" s="199">
        <f>SUM(G575:G587)+SUM(I602:I604)+L612</f>
        <v>383508.29</v>
      </c>
      <c r="H663" s="199">
        <f>SUM(H575:H587)+SUM(J602:J604)+L613</f>
        <v>775936.22</v>
      </c>
      <c r="I663" s="19">
        <f>SUM(F663:H663)</f>
        <v>1697914.03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11989959.12969497</v>
      </c>
      <c r="G664" s="19">
        <f>G660-SUM(G661:G663)</f>
        <v>5943352.1094405418</v>
      </c>
      <c r="H664" s="19">
        <f>H660-SUM(H661:H663)</f>
        <v>9950465.4608644843</v>
      </c>
      <c r="I664" s="19">
        <f>I660-SUM(I661:I663)</f>
        <v>27883776.699999996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339.45+290.14</f>
        <v>629.58999999999992</v>
      </c>
      <c r="G665" s="248">
        <f>398.05</f>
        <v>398.05</v>
      </c>
      <c r="H665" s="248">
        <f>650.32</f>
        <v>650.32000000000005</v>
      </c>
      <c r="I665" s="19">
        <f>SUM(F665:H665)</f>
        <v>1677.96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19044.07</v>
      </c>
      <c r="G667" s="19">
        <f>ROUND(G664/G665,2)</f>
        <v>14931.17</v>
      </c>
      <c r="H667" s="19">
        <f>ROUND(H664/H665,2)</f>
        <v>15300.88</v>
      </c>
      <c r="I667" s="19">
        <f>ROUND(I664/I665,2)</f>
        <v>16617.66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-33.28</v>
      </c>
      <c r="I670" s="19">
        <f>SUM(F670:H670)</f>
        <v>-33.28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19044.07</v>
      </c>
      <c r="G672" s="19">
        <f>ROUND((G664+G669)/(G665+G670),2)</f>
        <v>14931.17</v>
      </c>
      <c r="H672" s="19">
        <f>ROUND((H664+H669)/(H665+H670),2)</f>
        <v>16126.13</v>
      </c>
      <c r="I672" s="19">
        <f>ROUND((I664+I669)/(I665+I670),2)</f>
        <v>16953.919999999998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F47" sqref="F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Sanborn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8018541.0700000003</v>
      </c>
      <c r="C9" s="229">
        <f>'DOE25'!G197+'DOE25'!G215+'DOE25'!G233+'DOE25'!G276+'DOE25'!G295+'DOE25'!G314</f>
        <v>3763305.8499999996</v>
      </c>
    </row>
    <row r="10" spans="1:3" x14ac:dyDescent="0.2">
      <c r="A10" t="s">
        <v>779</v>
      </c>
      <c r="B10" s="240">
        <f>6970837.33+50662.51+63485+2400+60482.4+45561.67</f>
        <v>7193428.9100000001</v>
      </c>
      <c r="C10" s="240">
        <v>3376059.6674928698</v>
      </c>
    </row>
    <row r="11" spans="1:3" x14ac:dyDescent="0.2">
      <c r="A11" t="s">
        <v>780</v>
      </c>
      <c r="B11" s="240">
        <f>324466.18+48209.59</f>
        <v>372675.77</v>
      </c>
      <c r="C11" s="240">
        <v>174906.24455880656</v>
      </c>
    </row>
    <row r="12" spans="1:3" x14ac:dyDescent="0.2">
      <c r="A12" t="s">
        <v>781</v>
      </c>
      <c r="B12" s="240">
        <f>129180+190266+122045+9720+1225.39</f>
        <v>452436.39</v>
      </c>
      <c r="C12" s="240">
        <v>212339.93794832323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8018541.0699999994</v>
      </c>
      <c r="C13" s="231">
        <f>SUM(C10:C12)</f>
        <v>3763305.8499999996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2909558.68</v>
      </c>
      <c r="C18" s="229">
        <f>'DOE25'!G198+'DOE25'!G216+'DOE25'!G234+'DOE25'!G277+'DOE25'!G296+'DOE25'!G315</f>
        <v>1506346.79</v>
      </c>
    </row>
    <row r="19" spans="1:3" x14ac:dyDescent="0.2">
      <c r="A19" t="s">
        <v>779</v>
      </c>
      <c r="B19" s="240">
        <f>852316.87+35284.38+131469+247691+20835+158296+103311.38+183684</f>
        <v>1732887.63</v>
      </c>
      <c r="C19" s="240">
        <v>897156.58145145478</v>
      </c>
    </row>
    <row r="20" spans="1:3" x14ac:dyDescent="0.2">
      <c r="A20" t="s">
        <v>780</v>
      </c>
      <c r="B20" s="240">
        <f>420387.72+36503.72+348163.34+85851.79+145069.81</f>
        <v>1035976.3800000001</v>
      </c>
      <c r="C20" s="240">
        <v>536349.27704184339</v>
      </c>
    </row>
    <row r="21" spans="1:3" x14ac:dyDescent="0.2">
      <c r="A21" t="s">
        <v>781</v>
      </c>
      <c r="B21" s="240">
        <f>54340+24790+25153.41+25200+7800+3411.26</f>
        <v>140694.67000000001</v>
      </c>
      <c r="C21" s="240">
        <v>72840.931506701672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2909558.6799999997</v>
      </c>
      <c r="C22" s="231">
        <f>SUM(C19:C21)</f>
        <v>1506346.79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303174.75</v>
      </c>
      <c r="C36" s="235">
        <f>'DOE25'!G200+'DOE25'!G218+'DOE25'!G236+'DOE25'!G279+'DOE25'!G298+'DOE25'!G317</f>
        <v>81042.070000000007</v>
      </c>
    </row>
    <row r="37" spans="1:3" x14ac:dyDescent="0.2">
      <c r="A37" t="s">
        <v>779</v>
      </c>
      <c r="B37" s="240">
        <f>62775.75+4453</f>
        <v>67228.75</v>
      </c>
      <c r="C37" s="240">
        <v>17971.011977456899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82559+3000+3190+112288+34909</f>
        <v>235946</v>
      </c>
      <c r="C39" s="240">
        <v>63071.058022543104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303174.75</v>
      </c>
      <c r="C40" s="231">
        <f>SUM(C37:C39)</f>
        <v>81042.070000000007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Sanborn 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18611728.399999999</v>
      </c>
      <c r="D5" s="20">
        <f>SUM('DOE25'!L197:L200)+SUM('DOE25'!L215:L218)+SUM('DOE25'!L233:L236)-F5-G5</f>
        <v>17953121.489999998</v>
      </c>
      <c r="E5" s="243"/>
      <c r="F5" s="255">
        <f>SUM('DOE25'!J197:J200)+SUM('DOE25'!J215:J218)+SUM('DOE25'!J233:J236)</f>
        <v>601172.91</v>
      </c>
      <c r="G5" s="53">
        <f>SUM('DOE25'!K197:K200)+SUM('DOE25'!K215:K218)+SUM('DOE25'!K233:K236)</f>
        <v>57434</v>
      </c>
      <c r="H5" s="259"/>
    </row>
    <row r="6" spans="1:9" x14ac:dyDescent="0.2">
      <c r="A6" s="32">
        <v>2100</v>
      </c>
      <c r="B6" t="s">
        <v>801</v>
      </c>
      <c r="C6" s="245">
        <f t="shared" si="0"/>
        <v>2205352.4900000002</v>
      </c>
      <c r="D6" s="20">
        <f>'DOE25'!L202+'DOE25'!L220+'DOE25'!L238-F6-G6</f>
        <v>2194058.1800000002</v>
      </c>
      <c r="E6" s="243"/>
      <c r="F6" s="255">
        <f>'DOE25'!J202+'DOE25'!J220+'DOE25'!J238</f>
        <v>2520</v>
      </c>
      <c r="G6" s="53">
        <f>'DOE25'!K202+'DOE25'!K220+'DOE25'!K238</f>
        <v>8774.31</v>
      </c>
      <c r="H6" s="259"/>
    </row>
    <row r="7" spans="1:9" x14ac:dyDescent="0.2">
      <c r="A7" s="32">
        <v>2200</v>
      </c>
      <c r="B7" t="s">
        <v>834</v>
      </c>
      <c r="C7" s="245">
        <f t="shared" si="0"/>
        <v>584494.42999999993</v>
      </c>
      <c r="D7" s="20">
        <f>'DOE25'!L203+'DOE25'!L221+'DOE25'!L239-F7-G7</f>
        <v>580302.87999999989</v>
      </c>
      <c r="E7" s="243"/>
      <c r="F7" s="255">
        <f>'DOE25'!J203+'DOE25'!J221+'DOE25'!J239</f>
        <v>4191.5499999999993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408178.64999999991</v>
      </c>
      <c r="D8" s="243"/>
      <c r="E8" s="20">
        <f>'DOE25'!L204+'DOE25'!L222+'DOE25'!L240-F8-G8-D9-D11</f>
        <v>307269.14999999991</v>
      </c>
      <c r="F8" s="255">
        <f>'DOE25'!J204+'DOE25'!J222+'DOE25'!J240</f>
        <v>0</v>
      </c>
      <c r="G8" s="53">
        <f>'DOE25'!K204+'DOE25'!K222+'DOE25'!K240</f>
        <v>100909.5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28632.160000000003</v>
      </c>
      <c r="D9" s="244">
        <f>103632.16-75000</f>
        <v>28632.160000000003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13350</v>
      </c>
      <c r="D10" s="243"/>
      <c r="E10" s="244">
        <v>13350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382615.53</v>
      </c>
      <c r="D11" s="244">
        <v>382615.53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1911703.8699999999</v>
      </c>
      <c r="D12" s="20">
        <f>'DOE25'!L205+'DOE25'!L223+'DOE25'!L241-F12-G12</f>
        <v>1851951.94</v>
      </c>
      <c r="E12" s="243"/>
      <c r="F12" s="255">
        <f>'DOE25'!J205+'DOE25'!J223+'DOE25'!J241</f>
        <v>31803.64</v>
      </c>
      <c r="G12" s="53">
        <f>'DOE25'!K205+'DOE25'!K223+'DOE25'!K241</f>
        <v>27948.29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409761.11</v>
      </c>
      <c r="D13" s="243"/>
      <c r="E13" s="20">
        <f>'DOE25'!L206+'DOE25'!L224+'DOE25'!L242-F13-G13</f>
        <v>408966.11</v>
      </c>
      <c r="F13" s="255">
        <f>'DOE25'!J206+'DOE25'!J224+'DOE25'!J242</f>
        <v>0</v>
      </c>
      <c r="G13" s="53">
        <f>'DOE25'!K206+'DOE25'!K224+'DOE25'!K242</f>
        <v>795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2948129.25</v>
      </c>
      <c r="D14" s="20">
        <f>'DOE25'!L207+'DOE25'!L225+'DOE25'!L243-F14-G14</f>
        <v>2925715.63</v>
      </c>
      <c r="E14" s="243"/>
      <c r="F14" s="255">
        <f>'DOE25'!J207+'DOE25'!J225+'DOE25'!J243</f>
        <v>17973.02</v>
      </c>
      <c r="G14" s="53">
        <f>'DOE25'!K207+'DOE25'!K225+'DOE25'!K243</f>
        <v>4440.6000000000004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1239707.19</v>
      </c>
      <c r="D15" s="20">
        <f>'DOE25'!L208+'DOE25'!L226+'DOE25'!L244-F15-G15</f>
        <v>1239707.19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628241.18000000005</v>
      </c>
      <c r="D16" s="243"/>
      <c r="E16" s="20">
        <f>'DOE25'!L209+'DOE25'!L227+'DOE25'!L245-F16-G16</f>
        <v>628241.18000000005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12384</v>
      </c>
      <c r="D18" s="20">
        <f>'DOE25'!L252-F18-G18</f>
        <v>12384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2500</v>
      </c>
      <c r="D19" s="20">
        <f>'DOE25'!L253-F19-G19</f>
        <v>0</v>
      </c>
      <c r="E19" s="243"/>
      <c r="F19" s="255">
        <f>'DOE25'!J253</f>
        <v>0</v>
      </c>
      <c r="G19" s="53">
        <f>'DOE25'!K253</f>
        <v>2500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117884.6</v>
      </c>
      <c r="D22" s="243"/>
      <c r="E22" s="243"/>
      <c r="F22" s="255">
        <f>'DOE25'!L255+'DOE25'!L336</f>
        <v>117884.6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2290890.5</v>
      </c>
      <c r="D25" s="243"/>
      <c r="E25" s="243"/>
      <c r="F25" s="258"/>
      <c r="G25" s="256"/>
      <c r="H25" s="257">
        <f>'DOE25'!L260+'DOE25'!L261+'DOE25'!L341+'DOE25'!L342</f>
        <v>2290890.5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554816.65</v>
      </c>
      <c r="D29" s="20">
        <f>'DOE25'!L358+'DOE25'!L359+'DOE25'!L360-'DOE25'!I367-F29-G29</f>
        <v>551087.65</v>
      </c>
      <c r="E29" s="243"/>
      <c r="F29" s="255">
        <f>'DOE25'!J358+'DOE25'!J359+'DOE25'!J360</f>
        <v>3610</v>
      </c>
      <c r="G29" s="53">
        <f>'DOE25'!K358+'DOE25'!K359+'DOE25'!K360</f>
        <v>119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1283769.8599999999</v>
      </c>
      <c r="D31" s="20">
        <f>'DOE25'!L290+'DOE25'!L309+'DOE25'!L328+'DOE25'!L333+'DOE25'!L334+'DOE25'!L335-F31-G31</f>
        <v>1255361.6199999999</v>
      </c>
      <c r="E31" s="243"/>
      <c r="F31" s="255">
        <f>'DOE25'!J290+'DOE25'!J309+'DOE25'!J328+'DOE25'!J333+'DOE25'!J334+'DOE25'!J335</f>
        <v>28364.99</v>
      </c>
      <c r="G31" s="53">
        <f>'DOE25'!K290+'DOE25'!K309+'DOE25'!K328+'DOE25'!K333+'DOE25'!K334+'DOE25'!K335</f>
        <v>43.25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28974938.27</v>
      </c>
      <c r="E33" s="246">
        <f>SUM(E5:E31)</f>
        <v>1357826.44</v>
      </c>
      <c r="F33" s="246">
        <f>SUM(F5:F31)</f>
        <v>807520.71000000008</v>
      </c>
      <c r="G33" s="246">
        <f>SUM(G5:G31)</f>
        <v>202963.95</v>
      </c>
      <c r="H33" s="246">
        <f>SUM(H5:H31)</f>
        <v>2290890.5</v>
      </c>
    </row>
    <row r="35" spans="2:8" ht="12" thickBot="1" x14ac:dyDescent="0.25">
      <c r="B35" s="253" t="s">
        <v>847</v>
      </c>
      <c r="D35" s="254">
        <f>E33</f>
        <v>1357826.44</v>
      </c>
      <c r="E35" s="249"/>
    </row>
    <row r="36" spans="2:8" ht="12" thickTop="1" x14ac:dyDescent="0.2">
      <c r="B36" t="s">
        <v>815</v>
      </c>
      <c r="D36" s="20">
        <f>D33</f>
        <v>28974938.27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6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Sanborn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1515600.58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281360.16000000003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160803.06</v>
      </c>
      <c r="D11" s="95">
        <f>'DOE25'!G12</f>
        <v>36275.26</v>
      </c>
      <c r="E11" s="95">
        <f>'DOE25'!H12</f>
        <v>324548.09000000003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1046720.55</v>
      </c>
      <c r="D12" s="95">
        <f>'DOE25'!G13</f>
        <v>7756.93</v>
      </c>
      <c r="E12" s="95">
        <f>'DOE25'!H13</f>
        <v>280635.58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28842.58</v>
      </c>
      <c r="D13" s="95">
        <f>'DOE25'!G14</f>
        <v>3109.5</v>
      </c>
      <c r="E13" s="95">
        <f>'DOE25'!H14</f>
        <v>7543.75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22188.44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2774155.2100000004</v>
      </c>
      <c r="D18" s="41">
        <f>SUM(D8:D17)</f>
        <v>47141.69</v>
      </c>
      <c r="E18" s="41">
        <f>SUM(E8:E17)</f>
        <v>612727.42000000004</v>
      </c>
      <c r="F18" s="41">
        <f>SUM(F8:F17)</f>
        <v>0</v>
      </c>
      <c r="G18" s="41">
        <f>SUM(G8:G17)</f>
        <v>281360.16000000003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360823.35</v>
      </c>
      <c r="D21" s="95">
        <f>'DOE25'!G22</f>
        <v>0</v>
      </c>
      <c r="E21" s="95">
        <f>'DOE25'!H22</f>
        <v>160803.06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53660.959999999999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253081.62</v>
      </c>
      <c r="D23" s="95">
        <f>'DOE25'!G24</f>
        <v>11366.77</v>
      </c>
      <c r="E23" s="95">
        <f>'DOE25'!H24</f>
        <v>31209.98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61586.27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4581.67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37494.97</v>
      </c>
      <c r="D29" s="95">
        <f>'DOE25'!G30</f>
        <v>11929.65</v>
      </c>
      <c r="E29" s="95">
        <f>'DOE25'!H30</f>
        <v>95015.039999999994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40785.57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758353.45</v>
      </c>
      <c r="D31" s="41">
        <f>SUM(D21:D30)</f>
        <v>23296.42</v>
      </c>
      <c r="E31" s="41">
        <f>SUM(E21:E30)</f>
        <v>287028.08</v>
      </c>
      <c r="F31" s="41">
        <f>SUM(F21:F30)</f>
        <v>0</v>
      </c>
      <c r="G31" s="41">
        <f>SUM(G21:G30)</f>
        <v>53660.959999999999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22188.44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23845.270000000004</v>
      </c>
      <c r="E42" s="95">
        <f>'DOE25'!H43</f>
        <v>325699.34000000003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153620.96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8520.7999999999993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227699.20000000004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686741.18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1144730.3799999999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2015801.7599999998</v>
      </c>
      <c r="D50" s="41">
        <f>SUM(D34:D49)</f>
        <v>23845.270000000004</v>
      </c>
      <c r="E50" s="41">
        <f>SUM(E34:E49)</f>
        <v>325699.34000000003</v>
      </c>
      <c r="F50" s="41">
        <f>SUM(F34:F49)</f>
        <v>0</v>
      </c>
      <c r="G50" s="41">
        <f>SUM(G34:G49)</f>
        <v>227699.20000000004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2774155.21</v>
      </c>
      <c r="D51" s="41">
        <f>D50+D31</f>
        <v>47141.69</v>
      </c>
      <c r="E51" s="41">
        <f>E50+E31</f>
        <v>612727.42000000004</v>
      </c>
      <c r="F51" s="41">
        <f>F50+F31</f>
        <v>0</v>
      </c>
      <c r="G51" s="41">
        <f>G50+G31</f>
        <v>281360.16000000003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20852159.030000001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4058260.34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10456.36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422.3100000000195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375732.85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49260.31</v>
      </c>
      <c r="D61" s="95">
        <f>SUM('DOE25'!G98:G110)</f>
        <v>0</v>
      </c>
      <c r="E61" s="95">
        <f>SUM('DOE25'!H98:H110)</f>
        <v>89459.4</v>
      </c>
      <c r="F61" s="95">
        <f>SUM('DOE25'!I98:I110)</f>
        <v>101139.65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4117977.01</v>
      </c>
      <c r="D62" s="130">
        <f>SUM(D57:D61)</f>
        <v>375732.85</v>
      </c>
      <c r="E62" s="130">
        <f>SUM(E57:E61)</f>
        <v>89459.4</v>
      </c>
      <c r="F62" s="130">
        <f>SUM(F57:F61)</f>
        <v>101139.65</v>
      </c>
      <c r="G62" s="130">
        <f>SUM(G57:G61)</f>
        <v>422.3100000000195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24970136.039999999</v>
      </c>
      <c r="D63" s="22">
        <f>D56+D62</f>
        <v>375732.85</v>
      </c>
      <c r="E63" s="22">
        <f>E56+E62</f>
        <v>89459.4</v>
      </c>
      <c r="F63" s="22">
        <f>F56+F62</f>
        <v>101139.65</v>
      </c>
      <c r="G63" s="22">
        <f>G56+G62</f>
        <v>422.3100000000195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3781798.27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2483633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19759.810000000001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6285191.0799999991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640676.94999999995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152260.6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25954.2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6738.5</v>
      </c>
      <c r="D77" s="95">
        <f>SUM('DOE25'!G131:G135)</f>
        <v>6990.1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825630.24999999988</v>
      </c>
      <c r="D78" s="130">
        <f>SUM(D72:D77)</f>
        <v>6990.1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7110821.3299999991</v>
      </c>
      <c r="D81" s="130">
        <f>SUM(D79:D80)+D78+D70</f>
        <v>6990.1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78215.27</v>
      </c>
      <c r="F85" s="95">
        <f>'DOE25'!I147</f>
        <v>58890.11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102956.15</v>
      </c>
      <c r="D88" s="95">
        <f>SUM('DOE25'!G153:G161)</f>
        <v>137729.64000000001</v>
      </c>
      <c r="E88" s="95">
        <f>SUM('DOE25'!H153:H161)</f>
        <v>969813.3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102956.15</v>
      </c>
      <c r="D91" s="131">
        <f>SUM(D85:D90)</f>
        <v>137729.64000000001</v>
      </c>
      <c r="E91" s="131">
        <f>SUM(E85:E90)</f>
        <v>1048028.5700000001</v>
      </c>
      <c r="F91" s="131">
        <f>SUM(F85:F90)</f>
        <v>58890.11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30233.63</v>
      </c>
      <c r="E96" s="95">
        <f>'DOE25'!H179</f>
        <v>0</v>
      </c>
      <c r="F96" s="95">
        <f>'DOE25'!I179</f>
        <v>191524.43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1034.9000000000001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53660.959999999999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54695.86</v>
      </c>
      <c r="D103" s="86">
        <f>SUM(D93:D102)</f>
        <v>30233.63</v>
      </c>
      <c r="E103" s="86">
        <f>SUM(E93:E102)</f>
        <v>0</v>
      </c>
      <c r="F103" s="86">
        <f>SUM(F93:F102)</f>
        <v>191524.43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32238609.379999995</v>
      </c>
      <c r="D104" s="86">
        <f>D63+D81+D91+D103</f>
        <v>550686.22</v>
      </c>
      <c r="E104" s="86">
        <f>E63+E81+E91+E103</f>
        <v>1137487.97</v>
      </c>
      <c r="F104" s="86">
        <f>F63+F81+F91+F103</f>
        <v>351554.19</v>
      </c>
      <c r="G104" s="86">
        <f>G63+G81+G103</f>
        <v>422.3100000000195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12753317.930000002</v>
      </c>
      <c r="D109" s="24" t="s">
        <v>289</v>
      </c>
      <c r="E109" s="95">
        <f>('DOE25'!L276)+('DOE25'!L295)+('DOE25'!L314)</f>
        <v>264945.03000000003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5108912.3699999992</v>
      </c>
      <c r="D110" s="24" t="s">
        <v>289</v>
      </c>
      <c r="E110" s="95">
        <f>('DOE25'!L277)+('DOE25'!L296)+('DOE25'!L315)</f>
        <v>417339.95999999996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183358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566140.10000000009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14884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18626612.400000002</v>
      </c>
      <c r="D115" s="86">
        <f>SUM(D109:D114)</f>
        <v>0</v>
      </c>
      <c r="E115" s="86">
        <f>SUM(E109:E114)</f>
        <v>682284.99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2205352.4900000002</v>
      </c>
      <c r="D118" s="24" t="s">
        <v>289</v>
      </c>
      <c r="E118" s="95">
        <f>+('DOE25'!L281)+('DOE25'!L300)+('DOE25'!L319)</f>
        <v>9864.9599999999991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584494.42999999993</v>
      </c>
      <c r="D119" s="24" t="s">
        <v>289</v>
      </c>
      <c r="E119" s="95">
        <f>+('DOE25'!L282)+('DOE25'!L301)+('DOE25'!L320)</f>
        <v>399936.87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819426.34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1911703.8699999999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409761.11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2948129.25</v>
      </c>
      <c r="D123" s="24" t="s">
        <v>289</v>
      </c>
      <c r="E123" s="95">
        <f>+('DOE25'!L286)+('DOE25'!L305)+('DOE25'!L324)</f>
        <v>191683.04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1239707.19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628241.18000000005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554816.65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10746815.859999999</v>
      </c>
      <c r="D128" s="86">
        <f>SUM(D118:D127)</f>
        <v>554816.65</v>
      </c>
      <c r="E128" s="86">
        <f>SUM(E118:E127)</f>
        <v>601484.87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117884.6</v>
      </c>
      <c r="D130" s="24" t="s">
        <v>289</v>
      </c>
      <c r="E130" s="129">
        <f>'DOE25'!L336</f>
        <v>0</v>
      </c>
      <c r="F130" s="129">
        <f>SUM('DOE25'!L374:'DOE25'!L380)</f>
        <v>351554.19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1351420.69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939469.81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1034.9000000000001</v>
      </c>
      <c r="F134" s="95">
        <f>'DOE25'!K381</f>
        <v>0</v>
      </c>
      <c r="G134" s="95">
        <f>'DOE25'!K434</f>
        <v>53660.959999999999</v>
      </c>
    </row>
    <row r="135" spans="1:7" x14ac:dyDescent="0.2">
      <c r="A135" t="s">
        <v>233</v>
      </c>
      <c r="B135" s="32" t="s">
        <v>234</v>
      </c>
      <c r="C135" s="95">
        <f>'DOE25'!L263</f>
        <v>30233.63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191524.43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422.3100000000195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-422.3100000000195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2630533.16</v>
      </c>
      <c r="D144" s="141">
        <f>SUM(D130:D143)</f>
        <v>0</v>
      </c>
      <c r="E144" s="141">
        <f>SUM(E130:E143)</f>
        <v>1034.9000000000001</v>
      </c>
      <c r="F144" s="141">
        <f>SUM(F130:F143)</f>
        <v>351554.19</v>
      </c>
      <c r="G144" s="141">
        <f>SUM(G130:G143)</f>
        <v>53660.959999999999</v>
      </c>
    </row>
    <row r="145" spans="1:9" ht="12.75" thickTop="1" thickBot="1" x14ac:dyDescent="0.25">
      <c r="A145" s="33" t="s">
        <v>244</v>
      </c>
      <c r="C145" s="86">
        <f>(C115+C128+C144)</f>
        <v>32003961.420000002</v>
      </c>
      <c r="D145" s="86">
        <f>(D115+D128+D144)</f>
        <v>554816.65</v>
      </c>
      <c r="E145" s="86">
        <f>(E115+E128+E144)</f>
        <v>1284804.7599999998</v>
      </c>
      <c r="F145" s="86">
        <f>(F115+F128+F144)</f>
        <v>351554.19</v>
      </c>
      <c r="G145" s="86">
        <f>(G115+G128+G144)</f>
        <v>53660.959999999999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29770200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17521815.93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17521815.93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1351420.69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1351420.69</v>
      </c>
    </row>
    <row r="159" spans="1:9" x14ac:dyDescent="0.2">
      <c r="A159" s="22" t="s">
        <v>35</v>
      </c>
      <c r="B159" s="137">
        <f>'DOE25'!F498</f>
        <v>16170395.24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16170395.24</v>
      </c>
    </row>
    <row r="160" spans="1:9" x14ac:dyDescent="0.2">
      <c r="A160" s="22" t="s">
        <v>36</v>
      </c>
      <c r="B160" s="137">
        <f>'DOE25'!F499</f>
        <v>11104288.52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11104288.52</v>
      </c>
    </row>
    <row r="161" spans="1:7" x14ac:dyDescent="0.2">
      <c r="A161" s="22" t="s">
        <v>37</v>
      </c>
      <c r="B161" s="137">
        <f>'DOE25'!F500</f>
        <v>27274683.759999998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27274683.759999998</v>
      </c>
    </row>
    <row r="162" spans="1:7" x14ac:dyDescent="0.2">
      <c r="A162" s="22" t="s">
        <v>38</v>
      </c>
      <c r="B162" s="137">
        <f>'DOE25'!F501</f>
        <v>1286752.19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1286752.19</v>
      </c>
    </row>
    <row r="163" spans="1:7" x14ac:dyDescent="0.2">
      <c r="A163" s="22" t="s">
        <v>39</v>
      </c>
      <c r="B163" s="137">
        <f>'DOE25'!F502</f>
        <v>989013.31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989013.31</v>
      </c>
    </row>
    <row r="164" spans="1:7" x14ac:dyDescent="0.2">
      <c r="A164" s="22" t="s">
        <v>246</v>
      </c>
      <c r="B164" s="137">
        <f>'DOE25'!F503</f>
        <v>2275765.5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2275765.5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Sanborn Regional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19044</v>
      </c>
    </row>
    <row r="5" spans="1:4" x14ac:dyDescent="0.2">
      <c r="B5" t="s">
        <v>704</v>
      </c>
      <c r="C5" s="179">
        <f>IF('DOE25'!G665+'DOE25'!G670=0,0,ROUND('DOE25'!G672,0))</f>
        <v>14931</v>
      </c>
    </row>
    <row r="6" spans="1:4" x14ac:dyDescent="0.2">
      <c r="B6" t="s">
        <v>62</v>
      </c>
      <c r="C6" s="179">
        <f>IF('DOE25'!H665+'DOE25'!H670=0,0,ROUND('DOE25'!H672,0))</f>
        <v>16126</v>
      </c>
    </row>
    <row r="7" spans="1:4" x14ac:dyDescent="0.2">
      <c r="B7" t="s">
        <v>705</v>
      </c>
      <c r="C7" s="179">
        <f>IF('DOE25'!I665+'DOE25'!I670=0,0,ROUND('DOE25'!I672,0))</f>
        <v>16954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13018263</v>
      </c>
      <c r="D10" s="182">
        <f>ROUND((C10/$C$28)*100,1)</f>
        <v>41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5526252</v>
      </c>
      <c r="D11" s="182">
        <f>ROUND((C11/$C$28)*100,1)</f>
        <v>17.399999999999999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183358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566140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2215217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984431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1447668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1911704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409761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3139812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1239707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14884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939470</v>
      </c>
      <c r="D25" s="182">
        <f t="shared" si="0"/>
        <v>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179084.15000000002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31775751.149999999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469439</v>
      </c>
    </row>
    <row r="30" spans="1:4" x14ac:dyDescent="0.2">
      <c r="B30" s="187" t="s">
        <v>729</v>
      </c>
      <c r="C30" s="180">
        <f>SUM(C28:C29)</f>
        <v>32245190.149999999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1351421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20852159</v>
      </c>
      <c r="D35" s="182">
        <f t="shared" ref="D35:D40" si="1">ROUND((C35/$C$41)*100,1)</f>
        <v>62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4308998.3999999985</v>
      </c>
      <c r="D36" s="182">
        <f t="shared" si="1"/>
        <v>12.8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6265431</v>
      </c>
      <c r="D37" s="182">
        <f t="shared" si="1"/>
        <v>18.600000000000001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852380</v>
      </c>
      <c r="D38" s="182">
        <f t="shared" si="1"/>
        <v>2.5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1347604</v>
      </c>
      <c r="D39" s="182">
        <f t="shared" si="1"/>
        <v>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33626572.399999999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Sanborn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2016-09-26T13:47:55Z</cp:lastPrinted>
  <dcterms:created xsi:type="dcterms:W3CDTF">1997-12-04T19:04:30Z</dcterms:created>
  <dcterms:modified xsi:type="dcterms:W3CDTF">2016-12-01T18:49:20Z</dcterms:modified>
</cp:coreProperties>
</file>