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1080" yWindow="75" windowWidth="21675" windowHeight="115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J521" i="1" l="1"/>
  <c r="I521" i="1"/>
  <c r="H521" i="1"/>
  <c r="G521" i="1"/>
  <c r="F526" i="1"/>
  <c r="F521" i="1"/>
  <c r="G526" i="1" l="1"/>
  <c r="G531" i="1"/>
  <c r="C20" i="12"/>
  <c r="C19" i="12"/>
  <c r="C21" i="12"/>
  <c r="C12" i="12"/>
  <c r="C11" i="12"/>
  <c r="C10" i="12"/>
  <c r="G197" i="1"/>
  <c r="G205" i="1"/>
  <c r="G202" i="1"/>
  <c r="G13" i="1" l="1"/>
  <c r="H13" i="1"/>
  <c r="G40" i="1"/>
  <c r="G146" i="1"/>
  <c r="G30" i="1"/>
  <c r="F207" i="1"/>
  <c r="F358" i="1"/>
  <c r="H604" i="1" l="1"/>
  <c r="F29" i="1"/>
  <c r="I250" i="1"/>
  <c r="I276" i="1"/>
  <c r="I277" i="1" l="1"/>
  <c r="H159" i="1"/>
  <c r="H155" i="1"/>
  <c r="B12" i="12" l="1"/>
  <c r="B11" i="12"/>
  <c r="B10" i="12"/>
  <c r="B20" i="12"/>
  <c r="B37" i="12"/>
  <c r="G358" i="1"/>
  <c r="F367" i="1"/>
  <c r="I358" i="1"/>
  <c r="H358" i="1"/>
  <c r="G158" i="1"/>
  <c r="J207" i="1"/>
  <c r="B19" i="12"/>
  <c r="B21" i="12"/>
  <c r="H154" i="1"/>
  <c r="F531" i="1"/>
  <c r="I207" i="1"/>
  <c r="I203" i="1"/>
  <c r="I202" i="1"/>
  <c r="H208" i="1"/>
  <c r="H207" i="1"/>
  <c r="H204" i="1"/>
  <c r="H203" i="1"/>
  <c r="F203" i="1"/>
  <c r="F202" i="1"/>
  <c r="F200" i="1"/>
  <c r="F187" i="1" l="1"/>
  <c r="K426" i="1" l="1"/>
  <c r="H397" i="1"/>
  <c r="H396" i="1"/>
  <c r="J96" i="1"/>
  <c r="F3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H660" i="1" s="1"/>
  <c r="H664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J644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E16" i="13"/>
  <c r="C16" i="13" s="1"/>
  <c r="J655" i="1"/>
  <c r="J645" i="1"/>
  <c r="L570" i="1"/>
  <c r="I571" i="1"/>
  <c r="I545" i="1"/>
  <c r="J636" i="1"/>
  <c r="G36" i="2"/>
  <c r="L565" i="1"/>
  <c r="H545" i="1"/>
  <c r="K551" i="1"/>
  <c r="K552" i="1" s="1"/>
  <c r="C22" i="13"/>
  <c r="C138" i="2"/>
  <c r="H33" i="13"/>
  <c r="L529" i="1" l="1"/>
  <c r="L545" i="1" s="1"/>
  <c r="A13" i="12"/>
  <c r="L211" i="1"/>
  <c r="F660" i="1" s="1"/>
  <c r="D5" i="13"/>
  <c r="C5" i="13" s="1"/>
  <c r="F476" i="1"/>
  <c r="H622" i="1" s="1"/>
  <c r="J622" i="1" s="1"/>
  <c r="C10" i="10"/>
  <c r="E33" i="13"/>
  <c r="D35" i="13" s="1"/>
  <c r="C81" i="2"/>
  <c r="C63" i="2"/>
  <c r="I66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I660" i="1" l="1"/>
  <c r="F664" i="1"/>
  <c r="L257" i="1"/>
  <c r="L271" i="1" s="1"/>
  <c r="G632" i="1" s="1"/>
  <c r="J632" i="1" s="1"/>
  <c r="D31" i="13"/>
  <c r="C31" i="13" s="1"/>
  <c r="C28" i="10"/>
  <c r="D24" i="10" s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C30" i="10"/>
  <c r="D11" i="10"/>
  <c r="D26" i="10"/>
  <c r="D13" i="10"/>
  <c r="D10" i="10"/>
  <c r="D21" i="10" l="1"/>
  <c r="D16" i="10"/>
  <c r="D22" i="10"/>
  <c r="D27" i="10"/>
  <c r="D20" i="10"/>
  <c r="D18" i="10"/>
  <c r="D15" i="10"/>
  <c r="D17" i="10"/>
  <c r="D25" i="10"/>
  <c r="D12" i="10"/>
  <c r="D19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<sst xmlns="http://schemas.openxmlformats.org/spreadsheetml/2006/main" count="3963" uniqueCount="920">
  <si>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</si>
  <si>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</si>
  <si>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</si>
  <si>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</si>
  <si>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</si>
  <si>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</si>
  <si>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</si>
  <si>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</si>
  <si>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</si>
  <si>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</si>
  <si>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</si>
  <si>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</si>
  <si>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</si>
  <si>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</si>
  <si>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</si>
  <si>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</si>
  <si>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</si>
  <si>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</si>
  <si>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</si>
  <si>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</si>
  <si>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</si>
  <si>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</si>
  <si>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</si>
  <si>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</si>
  <si>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</si>
  <si>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</si>
  <si>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</si>
  <si>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</si>
  <si>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</si>
  <si>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</si>
  <si>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</si>
  <si>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</si>
  <si>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</si>
  <si>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</si>
  <si>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</si>
  <si>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</si>
  <si>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</si>
  <si>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</si>
  <si>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</si>
  <si>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</si>
  <si>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</si>
  <si>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</si>
  <si>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</si>
  <si>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</si>
  <si>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</si>
  <si>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</si>
  <si>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</si>
  <si>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</si>
  <si>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</si>
  <si>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</si>
  <si>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</si>
  <si>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</si>
  <si>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</si>
  <si>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</si>
  <si>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</si>
  <si>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</si>
  <si>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</si>
  <si>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</si>
  <si>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</si>
  <si>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</si>
  <si>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</si>
  <si>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</si>
  <si>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</si>
  <si>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</si>
  <si>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</si>
  <si>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</si>
  <si>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</si>
  <si>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</si>
  <si>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</si>
  <si>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</si>
  <si>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</si>
  <si>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</si>
  <si>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</si>
  <si>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</si>
  <si>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</si>
  <si>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</si>
  <si>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</si>
  <si>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</si>
  <si>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</si>
  <si>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</si>
  <si>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</si>
  <si>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</si>
  <si>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</si>
  <si>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</si>
  <si>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</si>
  <si>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</si>
  <si>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</si>
  <si>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</si>
  <si>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</si>
  <si>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</si>
  <si>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</si>
  <si>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</si>
  <si>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</si>
  <si>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</si>
  <si>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</si>
  <si>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</si>
  <si>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</si>
  <si>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</si>
  <si>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</si>
  <si>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</si>
  <si>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</si>
  <si>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</si>
  <si>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</si>
  <si>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</si>
  <si>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</si>
  <si>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</si>
  <si>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</si>
  <si>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</si>
  <si>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</si>
  <si>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</si>
  <si>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</si>
  <si>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</si>
  <si>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</si>
  <si>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</si>
  <si>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</si>
  <si>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</si>
  <si>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</si>
  <si>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</si>
  <si>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</si>
  <si>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</si>
  <si>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</si>
  <si>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</si>
  <si>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</si>
  <si>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</si>
  <si>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</si>
  <si>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</si>
  <si>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</si>
  <si>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</si>
  <si>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</si>
  <si>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</si>
  <si>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</si>
  <si>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</si>
  <si>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</si>
  <si>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</si>
  <si>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</si>
  <si>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</si>
  <si>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</si>
  <si>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</si>
  <si>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</si>
  <si>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</si>
  <si>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</si>
  <si>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</si>
  <si>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</si>
  <si>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</si>
  <si>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</si>
  <si>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</si>
  <si>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</si>
  <si>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</si>
  <si>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</si>
  <si>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</si>
  <si>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</si>
  <si>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</si>
  <si>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</si>
  <si>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</si>
  <si>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</si>
  <si>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</si>
  <si>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</si>
  <si>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</si>
  <si>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</si>
  <si>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</si>
  <si>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</si>
  <si>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</si>
  <si>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</si>
  <si>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</si>
  <si>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</si>
  <si>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</si>
  <si>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</si>
  <si>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</si>
  <si>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</si>
  <si>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</si>
  <si>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</si>
  <si>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</si>
  <si>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</si>
  <si>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</si>
  <si>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</si>
  <si>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</si>
  <si>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</si>
  <si>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</si>
  <si>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</si>
  <si>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</si>
  <si>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</si>
  <si>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</si>
  <si>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</si>
  <si>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</si>
  <si>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</si>
  <si>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</si>
  <si>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</si>
  <si>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</si>
  <si>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</si>
  <si>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</si>
  <si>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</si>
  <si>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</si>
  <si>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</si>
  <si>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</si>
  <si>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</si>
  <si>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</si>
  <si>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</si>
  <si>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</si>
  <si>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</si>
  <si>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</si>
  <si>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</si>
  <si>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</si>
  <si>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</si>
  <si>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</si>
  <si>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</si>
  <si>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</si>
  <si>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</si>
  <si>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</si>
  <si>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</si>
  <si>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</si>
  <si>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</si>
  <si>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</si>
  <si>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</si>
  <si>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</si>
  <si>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</si>
  <si>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</si>
  <si>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</si>
  <si>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</si>
  <si>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</si>
  <si>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</si>
  <si>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</si>
  <si>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</si>
  <si>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</si>
  <si>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</si>
  <si>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</si>
  <si>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</si>
  <si>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</si>
  <si>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</si>
  <si>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</si>
  <si>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</si>
  <si>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</si>
  <si>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</si>
  <si>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</si>
  <si>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</si>
  <si>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</si>
  <si>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</si>
  <si>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</si>
  <si>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</si>
  <si>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</si>
  <si>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</si>
  <si>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</si>
  <si>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</si>
  <si>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</si>
  <si>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</si>
  <si>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</si>
  <si>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</si>
  <si>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</si>
  <si>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</si>
  <si>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</si>
  <si>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</si>
  <si>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</si>
  <si>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</si>
  <si>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</si>
  <si>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</si>
  <si>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</si>
  <si>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</si>
  <si>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</si>
  <si>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</si>
  <si>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</si>
  <si>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</si>
  <si>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</si>
  <si>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</si>
  <si>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</si>
  <si>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</si>
  <si>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</si>
  <si>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</si>
  <si>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</si>
  <si>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</si>
  <si>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</si>
  <si>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</si>
  <si>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</si>
  <si>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</si>
  <si>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</si>
  <si>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</si>
  <si>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</si>
  <si>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</si>
  <si>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</si>
  <si>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</si>
  <si>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</si>
  <si>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</si>
  <si>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</si>
  <si>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</si>
  <si>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</si>
  <si>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</si>
  <si>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</si>
  <si>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</si>
  <si>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</si>
  <si>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</si>
  <si>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</si>
  <si>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</si>
  <si>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</si>
  <si>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</si>
  <si>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</si>
  <si>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</si>
  <si>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</si>
  <si>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</si>
  <si>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</si>
  <si>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</si>
  <si>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</si>
  <si>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</si>
  <si>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</si>
  <si>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</si>
  <si>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</si>
  <si>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</si>
  <si>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</si>
  <si>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</si>
  <si>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</si>
  <si>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</si>
  <si>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</si>
  <si>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</si>
  <si>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</si>
  <si>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</si>
  <si>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</si>
  <si>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</si>
  <si>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</si>
  <si>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</si>
  <si>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</si>
  <si>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</si>
  <si>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</si>
  <si>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</si>
  <si>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</si>
  <si>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</si>
  <si>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</si>
  <si>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</si>
  <si>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</si>
  <si>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</si>
  <si>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</si>
  <si>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</si>
  <si>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</si>
  <si>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</si>
  <si>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</si>
  <si>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</si>
  <si>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</si>
  <si>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</si>
  <si>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</si>
  <si>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</si>
  <si>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</si>
  <si>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</si>
  <si>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</si>
  <si>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</si>
  <si>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</si>
  <si>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</si>
  <si>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</si>
  <si>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</si>
  <si>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</si>
  <si>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</si>
  <si>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</si>
  <si>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</si>
  <si>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</si>
  <si>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</si>
  <si>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</si>
  <si>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</si>
  <si>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</si>
  <si>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</si>
  <si>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</si>
  <si>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</si>
  <si>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</si>
  <si>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</si>
  <si>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</si>
  <si>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</si>
  <si>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</si>
  <si>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</si>
  <si>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</si>
  <si>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</si>
  <si>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</si>
  <si>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</si>
  <si>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</si>
  <si>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</si>
  <si>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</si>
  <si>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</si>
  <si>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</si>
  <si>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</si>
  <si>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</si>
  <si>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</si>
  <si>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</si>
  <si>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</si>
  <si>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</si>
  <si>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</si>
  <si>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</si>
  <si>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</si>
  <si>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</si>
  <si>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</si>
  <si>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</si>
  <si>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</si>
  <si>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</si>
  <si>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</si>
  <si>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</si>
  <si>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</si>
  <si>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</si>
  <si>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</si>
  <si>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</si>
  <si>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</si>
  <si>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</si>
  <si>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</si>
  <si>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</si>
  <si>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</si>
  <si>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</si>
  <si>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</si>
  <si>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</si>
  <si>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</si>
  <si>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</si>
  <si>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</si>
  <si>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</si>
  <si>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</si>
  <si>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</si>
  <si>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</si>
  <si>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</si>
  <si>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</si>
  <si>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</si>
  <si>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</si>
  <si>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</si>
  <si>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</si>
  <si>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</si>
  <si>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</si>
  <si>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</si>
  <si>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</si>
  <si>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</si>
  <si>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</si>
  <si>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</si>
  <si>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</si>
  <si>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</si>
  <si>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</si>
  <si>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</si>
  <si>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</si>
  <si>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</si>
  <si>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</si>
  <si>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</si>
  <si>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</si>
  <si>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</si>
  <si>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</si>
  <si>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</si>
  <si>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</si>
  <si>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</si>
  <si>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</si>
  <si>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</si>
  <si>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</si>
  <si>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</si>
  <si>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</si>
  <si>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</si>
  <si>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</si>
  <si>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</si>
  <si>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</si>
  <si>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</si>
  <si>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</si>
  <si>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</si>
  <si>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</si>
  <si>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</si>
  <si>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</si>
  <si>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</si>
  <si>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</si>
  <si>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</si>
  <si>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</si>
  <si>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</si>
  <si>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</si>
  <si>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</si>
  <si>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</si>
  <si>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</si>
  <si>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</si>
  <si>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</si>
  <si>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</si>
  <si>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</si>
  <si>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</si>
  <si>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</si>
  <si>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</si>
  <si>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</si>
  <si>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</si>
  <si>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</si>
  <si>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</si>
  <si>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</si>
  <si>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</si>
  <si>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</si>
  <si>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</si>
  <si>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</si>
  <si>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</si>
  <si>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</si>
  <si>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</si>
  <si>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</si>
  <si>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</si>
  <si>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</si>
  <si>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</si>
  <si>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</si>
  <si>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</si>
  <si>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</si>
  <si>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</si>
  <si>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</si>
  <si>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</si>
  <si>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</si>
  <si>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</si>
  <si>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</si>
  <si>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</si>
  <si>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</si>
  <si>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</si>
  <si>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</si>
  <si>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</si>
  <si>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</si>
  <si>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</si>
  <si>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</si>
  <si>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</si>
  <si>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</si>
  <si>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</si>
  <si>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</si>
  <si>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</si>
  <si>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</si>
  <si>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</si>
  <si>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</si>
  <si>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</si>
  <si>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</si>
  <si>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</si>
  <si>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</si>
  <si>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</si>
  <si>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</si>
  <si>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</si>
  <si>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</si>
  <si>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</si>
  <si>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</si>
  <si>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</si>
  <si>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</si>
  <si>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</si>
  <si>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</si>
  <si>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</si>
  <si>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</si>
  <si>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</si>
  <si>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</si>
  <si>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</si>
  <si>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</si>
  <si>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</si>
  <si>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</si>
  <si>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</si>
  <si>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</si>
  <si>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</si>
  <si>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</si>
  <si>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</si>
  <si>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</si>
  <si>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</si>
  <si>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</si>
  <si>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</si>
  <si>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</si>
  <si>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</si>
  <si>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</si>
  <si>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</si>
  <si>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</si>
  <si>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</si>
  <si>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</si>
  <si>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</si>
  <si>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</si>
  <si>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</si>
  <si>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</si>
  <si>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</si>
  <si>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</si>
  <si>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</si>
  <si>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</si>
  <si>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</si>
  <si>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</si>
  <si>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</si>
  <si>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</si>
  <si>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</si>
  <si>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</si>
  <si>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</si>
  <si>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</si>
  <si>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</si>
  <si>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</si>
  <si>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</si>
  <si>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</si>
  <si>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</si>
  <si>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</si>
  <si>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</si>
  <si>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</si>
  <si>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</si>
  <si>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</si>
  <si>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</si>
  <si>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</si>
  <si>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</si>
  <si>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</si>
  <si>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</si>
  <si>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</si>
  <si>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</si>
  <si>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</si>
  <si>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</si>
  <si>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</si>
  <si>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</si>
  <si>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</si>
  <si>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</si>
  <si>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</si>
  <si>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</si>
  <si>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</si>
  <si>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</si>
  <si>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</si>
  <si>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</si>
  <si>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</si>
  <si>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</si>
  <si>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</si>
  <si>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</si>
  <si>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</si>
  <si>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</si>
  <si>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</si>
  <si>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</si>
  <si>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</si>
  <si>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</si>
  <si>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</si>
  <si>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</si>
  <si>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</si>
  <si>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</si>
  <si>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</si>
  <si>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</si>
  <si>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</si>
  <si>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</si>
  <si>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</si>
  <si>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</si>
  <si>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</si>
  <si>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</si>
  <si>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</si>
  <si>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</si>
  <si>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</si>
  <si>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</si>
  <si>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</si>
  <si>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</si>
  <si>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</si>
  <si>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</si>
  <si>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</si>
  <si>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</si>
  <si>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</si>
  <si>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</si>
  <si>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</si>
  <si>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</si>
  <si>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</si>
  <si>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</si>
  <si>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</si>
  <si>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</si>
  <si>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</si>
  <si>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</si>
  <si>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</si>
  <si>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</si>
  <si>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</si>
  <si>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</si>
  <si>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</si>
  <si>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</si>
  <si>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</si>
  <si>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</si>
  <si>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</si>
  <si>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</si>
  <si>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</si>
  <si>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</si>
  <si>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</si>
  <si>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</si>
  <si>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</si>
  <si>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</si>
  <si>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</si>
  <si>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</si>
  <si>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</si>
  <si>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</si>
  <si>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</si>
  <si>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</si>
  <si>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</si>
  <si>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</si>
  <si>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</si>
  <si>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</si>
  <si>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</si>
  <si>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</si>
  <si>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</si>
  <si>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</si>
  <si>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</si>
  <si>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</si>
  <si>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</si>
  <si>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</si>
  <si>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</si>
  <si>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</si>
  <si>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</si>
  <si>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</si>
  <si>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</si>
  <si>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</si>
  <si>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</si>
  <si>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</si>
  <si>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</si>
  <si>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</si>
  <si>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</si>
  <si>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</si>
  <si>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</si>
  <si>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</si>
  <si>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</si>
  <si>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</si>
  <si>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</si>
  <si>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</si>
  <si>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</si>
  <si>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</si>
  <si>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</si>
  <si>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</si>
  <si>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</si>
  <si>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</si>
  <si>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</si>
  <si>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</si>
  <si>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</si>
  <si>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</si>
  <si>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</si>
  <si>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</si>
  <si>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</si>
  <si>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</si>
  <si>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</si>
  <si>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</si>
  <si>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</si>
  <si>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</si>
  <si>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</si>
  <si>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</si>
  <si>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</si>
  <si>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</si>
  <si>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</si>
  <si>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</si>
  <si>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</si>
  <si>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</si>
  <si>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</si>
  <si>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</si>
  <si>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</si>
  <si>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</si>
  <si>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</si>
  <si>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</si>
  <si>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</si>
  <si>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</si>
  <si>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</si>
  <si>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</si>
  <si>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</si>
  <si>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</si>
  <si>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</si>
  <si>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</si>
  <si>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</si>
  <si>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</si>
  <si>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</si>
  <si>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</si>
  <si>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</si>
  <si>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</si>
  <si>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</si>
  <si>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</si>
  <si>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</si>
  <si>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</si>
  <si>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</si>
  <si>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</si>
  <si>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</si>
  <si>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</si>
  <si>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</si>
  <si>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</si>
  <si>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</si>
  <si>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</si>
  <si>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</si>
  <si>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</si>
  <si>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</si>
  <si>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</si>
  <si>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</si>
  <si>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</si>
  <si>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</si>
  <si>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</si>
  <si>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</si>
  <si>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</si>
  <si>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</si>
  <si>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</si>
  <si>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</si>
  <si>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</si>
  <si>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</si>
  <si>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</si>
  <si>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</si>
  <si>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</si>
  <si>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</si>
  <si>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</si>
  <si>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</si>
  <si>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</si>
  <si>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</si>
  <si>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</si>
  <si>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</si>
  <si>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</si>
  <si>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</si>
  <si>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</si>
  <si>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</si>
  <si>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</si>
  <si>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</si>
  <si>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</si>
  <si>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</si>
  <si>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</si>
  <si>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</si>
  <si>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</si>
  <si>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</si>
  <si>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</si>
  <si>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</si>
  <si>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</si>
  <si>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</si>
  <si>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</si>
  <si>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</si>
  <si>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</si>
  <si>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</si>
  <si>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</si>
  <si>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</si>
  <si>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</si>
  <si>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</si>
  <si>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</si>
  <si>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</si>
  <si>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</si>
  <si>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</si>
  <si>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</si>
  <si>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</si>
  <si>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</si>
  <si>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</si>
  <si>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</si>
  <si>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</si>
  <si>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</si>
  <si>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</si>
  <si>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</si>
  <si>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</si>
  <si>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</si>
  <si>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</si>
  <si>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</si>
  <si>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</si>
  <si>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</si>
  <si>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</si>
  <si>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</si>
  <si>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</si>
  <si>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</si>
  <si>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</si>
  <si>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</si>
  <si>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</si>
  <si>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</si>
  <si>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</si>
  <si>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</si>
  <si>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</si>
  <si>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</si>
  <si>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</si>
  <si>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</si>
  <si>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</si>
  <si>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</si>
  <si>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</si>
  <si>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</si>
  <si>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</si>
  <si>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</si>
  <si>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</si>
  <si>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</si>
  <si>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</si>
  <si>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</si>
  <si>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</si>
  <si>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</si>
  <si>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</si>
  <si>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</si>
  <si>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</si>
  <si>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</si>
  <si>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</si>
  <si>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</si>
  <si>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</si>
  <si>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</si>
  <si>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</si>
  <si>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</si>
  <si>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</si>
  <si>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</si>
  <si>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</si>
  <si>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</si>
  <si>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</si>
  <si>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</si>
  <si>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</si>
  <si>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</si>
  <si>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</si>
  <si>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</si>
  <si>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</si>
  <si>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</si>
  <si>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</si>
  <si>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</si>
  <si>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</si>
  <si>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</si>
  <si>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</si>
  <si>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</si>
  <si>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</si>
  <si>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</si>
  <si>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</si>
  <si>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</si>
  <si>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</si>
  <si>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</si>
  <si>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</si>
  <si>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</si>
  <si>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</si>
  <si>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</si>
  <si>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</si>
  <si>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</si>
  <si>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</si>
  <si>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</si>
  <si>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</si>
  <si>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</si>
  <si>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</si>
  <si>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</si>
  <si>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</si>
  <si>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</si>
  <si>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</si>
  <si>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</si>
  <si>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</si>
  <si>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</si>
  <si>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</si>
  <si>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</si>
  <si>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</si>
  <si>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</si>
  <si>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</si>
  <si>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</si>
  <si>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</si>
  <si>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</si>
  <si>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</si>
  <si>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</si>
  <si>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</si>
  <si>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</si>
  <si>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</si>
  <si>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</si>
  <si>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</si>
  <si>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</si>
  <si>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</si>
  <si>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</si>
  <si>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</si>
  <si>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</si>
  <si>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</si>
  <si>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</si>
  <si>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</si>
  <si>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</si>
  <si>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</si>
  <si>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</si>
  <si>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SEABROOK</t>
  </si>
  <si>
    <t>April 2010</t>
  </si>
  <si>
    <t>April 2024</t>
  </si>
  <si>
    <t>Other Local Revenue includes $93,006.87 for LGC Refund</t>
  </si>
  <si>
    <t>Special Revenue is for Farm to School Grant</t>
  </si>
  <si>
    <t>Expenses include food service program, Fresh Fruit &amp; Vegetable Grant and Farm to School Grant.</t>
  </si>
  <si>
    <t>Revenue is for Fresh Fruit &amp; Vegetable Grant</t>
  </si>
  <si>
    <t xml:space="preserve">Audit Adjustment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</si>
</sst>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485</v>
      </c>
      <c r="C2" s="21">
        <v>485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846987.02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455.63</v>
      </c>
      <c r="G10" s="18"/>
      <c r="H10" s="18"/>
      <c r="I10" s="18"/>
      <c r="J10" s="67">
        <f>SUM(I440)</f>
        <v>83207.67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22178.93</v>
      </c>
      <c r="G12" s="18">
        <v>6345.81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20923.77</v>
      </c>
      <c r="G13" s="18">
        <f>17562.99+169</f>
        <v>17731.990000000002</v>
      </c>
      <c r="H13" s="18">
        <f>32676.86-169</f>
        <v>32507.86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2669.18</v>
      </c>
      <c r="G14" s="18">
        <v>88.81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7168.78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893214.53000000014</v>
      </c>
      <c r="G19" s="41">
        <f>SUM(G9:G18)</f>
        <v>31335.390000000003</v>
      </c>
      <c r="H19" s="41">
        <f>SUM(H9:H18)</f>
        <v>32507.86</v>
      </c>
      <c r="I19" s="41">
        <f>SUM(I9:I18)</f>
        <v>0</v>
      </c>
      <c r="J19" s="41">
        <f>SUM(J9:J18)</f>
        <v>83207.67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28524.74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96418.240000000005</v>
      </c>
      <c r="G24" s="18"/>
      <c r="H24" s="18">
        <v>3983.12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8383.52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641.37+644.13+31270.06+3694.34</f>
        <v>36249.9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31415.21</v>
      </c>
      <c r="G30" s="18">
        <f>1823.21+169</f>
        <v>1992.21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172466.87</v>
      </c>
      <c r="G32" s="41">
        <f>SUM(G22:G31)</f>
        <v>1992.21</v>
      </c>
      <c r="H32" s="41">
        <f>SUM(H22:H31)</f>
        <v>32507.86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7168.78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22174.4</f>
        <v>22174.400000000001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3481.21</v>
      </c>
      <c r="G48" s="18"/>
      <c r="H48" s="18"/>
      <c r="I48" s="18"/>
      <c r="J48" s="13">
        <f>SUM(I459)</f>
        <v>83207.67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18151.25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599115.19999999995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720747.65999999992</v>
      </c>
      <c r="G51" s="41">
        <f>SUM(G35:G50)</f>
        <v>29343.18</v>
      </c>
      <c r="H51" s="41">
        <f>SUM(H35:H50)</f>
        <v>0</v>
      </c>
      <c r="I51" s="41">
        <f>SUM(I35:I50)</f>
        <v>0</v>
      </c>
      <c r="J51" s="41">
        <f>SUM(J35:J50)</f>
        <v>83207.67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893214.52999999991</v>
      </c>
      <c r="G52" s="41">
        <f>G51+G32</f>
        <v>31335.39</v>
      </c>
      <c r="H52" s="41">
        <f>H51+H32</f>
        <v>32507.86</v>
      </c>
      <c r="I52" s="41">
        <f>I51+I32</f>
        <v>0</v>
      </c>
      <c r="J52" s="41">
        <f>J51+J32</f>
        <v>83207.67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8971504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8971504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436.06</v>
      </c>
      <c r="G96" s="18"/>
      <c r="H96" s="18"/>
      <c r="I96" s="18"/>
      <c r="J96" s="18">
        <f>126.87+2412.69+706.75+43.56+784.96+627.39</f>
        <v>4702.22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85568.88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250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3900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26049.11+93006.87-585.51+8524.12</f>
        <v>126994.59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131580.65</v>
      </c>
      <c r="G111" s="41">
        <f>SUM(G96:G110)</f>
        <v>85568.88</v>
      </c>
      <c r="H111" s="41">
        <f>SUM(H96:H110)</f>
        <v>0</v>
      </c>
      <c r="I111" s="41">
        <f>SUM(I96:I110)</f>
        <v>0</v>
      </c>
      <c r="J111" s="41">
        <f>SUM(J96:J110)</f>
        <v>4702.22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9103084.6500000004</v>
      </c>
      <c r="G112" s="41">
        <f>G60+G111</f>
        <v>85568.88</v>
      </c>
      <c r="H112" s="41">
        <f>H60+H79+H94+H111</f>
        <v>0</v>
      </c>
      <c r="I112" s="41">
        <f>I60+I111</f>
        <v>0</v>
      </c>
      <c r="J112" s="41">
        <f>J60+J111</f>
        <v>4702.22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747251.78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2189749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2937000.7800000003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36200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39329.06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5474.49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75529.06</v>
      </c>
      <c r="G136" s="41">
        <f>SUM(G123:G135)</f>
        <v>5474.49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3012529.8400000003</v>
      </c>
      <c r="G140" s="41">
        <f>G121+SUM(G136:G137)</f>
        <v>5474.49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f>9980.67-169</f>
        <v>9811.67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9811.67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22251.01+249236.22</f>
        <v>271487.23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13496.66+15808.25-259</f>
        <v>29045.91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233108.61+6411.35</f>
        <v>239519.96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1242.19+138981.5+79.89+1095.91-1218.39</f>
        <v>140181.1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91472.86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33549.33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91472.86</v>
      </c>
      <c r="G162" s="41">
        <f>SUM(G150:G161)</f>
        <v>273069.28999999998</v>
      </c>
      <c r="H162" s="41">
        <f>SUM(H150:H161)</f>
        <v>440714.23999999999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24790.82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91472.86</v>
      </c>
      <c r="G169" s="41">
        <f>G147+G162+SUM(G163:G168)</f>
        <v>307671.77999999997</v>
      </c>
      <c r="H169" s="41">
        <f>H147+H162+SUM(H163:H168)</f>
        <v>440714.23999999999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f>145000+23910</f>
        <v>168910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168910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168910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12375997.35</v>
      </c>
      <c r="G193" s="47">
        <f>G112+G140+G169+G192</f>
        <v>398715.14999999997</v>
      </c>
      <c r="H193" s="47">
        <f>H112+H140+H169+H192</f>
        <v>440714.23999999999</v>
      </c>
      <c r="I193" s="47">
        <f>I112+I140+I169+I192</f>
        <v>0</v>
      </c>
      <c r="J193" s="47">
        <f>J112+J140+J192</f>
        <v>79702.22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3941803.8</v>
      </c>
      <c r="G197" s="18">
        <f>1517970.95+0.02</f>
        <v>1517970.97</v>
      </c>
      <c r="H197" s="18">
        <v>29754.799999999999</v>
      </c>
      <c r="I197" s="18">
        <v>114644.48</v>
      </c>
      <c r="J197" s="18">
        <v>15236.32</v>
      </c>
      <c r="K197" s="18"/>
      <c r="L197" s="19">
        <f>SUM(F197:K197)</f>
        <v>5619410.3700000001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1288565.47</v>
      </c>
      <c r="G198" s="18">
        <v>431218.97</v>
      </c>
      <c r="H198" s="18">
        <v>404225.43</v>
      </c>
      <c r="I198" s="18">
        <v>4626.91</v>
      </c>
      <c r="J198" s="18">
        <v>1254.08</v>
      </c>
      <c r="K198" s="18">
        <v>1349</v>
      </c>
      <c r="L198" s="19">
        <f>SUM(F198:K198)</f>
        <v>2131239.8600000003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38714+20152.72</f>
        <v>58866.720000000001</v>
      </c>
      <c r="G200" s="18">
        <v>4768.2</v>
      </c>
      <c r="H200" s="18">
        <v>6057.65</v>
      </c>
      <c r="I200" s="18">
        <v>6539.75</v>
      </c>
      <c r="J200" s="18">
        <v>844</v>
      </c>
      <c r="K200" s="18">
        <v>10200.370000000001</v>
      </c>
      <c r="L200" s="19">
        <f>SUM(F200:K200)</f>
        <v>87276.689999999988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146481+144109+151705.85</f>
        <v>442295.85</v>
      </c>
      <c r="G202" s="18">
        <f>17389+163677.85</f>
        <v>181066.85</v>
      </c>
      <c r="H202" s="18">
        <v>1035</v>
      </c>
      <c r="I202" s="18">
        <f>1746.45+485.98</f>
        <v>2232.4300000000003</v>
      </c>
      <c r="J202" s="18"/>
      <c r="K202" s="18"/>
      <c r="L202" s="19">
        <f t="shared" ref="L202:L208" si="0">SUM(F202:K202)</f>
        <v>626630.13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126808.94+122654.76</f>
        <v>249463.7</v>
      </c>
      <c r="G203" s="18">
        <v>82724.960000000006</v>
      </c>
      <c r="H203" s="18">
        <f>29371.47+2690.49+92274.55</f>
        <v>124336.51000000001</v>
      </c>
      <c r="I203" s="18">
        <f>19039.65+43071.19</f>
        <v>62110.840000000004</v>
      </c>
      <c r="J203" s="18">
        <v>96169.46</v>
      </c>
      <c r="K203" s="18"/>
      <c r="L203" s="19">
        <f t="shared" si="0"/>
        <v>614805.47000000009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27003</v>
      </c>
      <c r="G204" s="18">
        <v>2187.2399999999998</v>
      </c>
      <c r="H204" s="18">
        <f>22467.12+367583</f>
        <v>390050.12</v>
      </c>
      <c r="I204" s="18"/>
      <c r="J204" s="18"/>
      <c r="K204" s="18">
        <v>4906.17</v>
      </c>
      <c r="L204" s="19">
        <f t="shared" si="0"/>
        <v>424146.52999999997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409346.89</v>
      </c>
      <c r="G205" s="18">
        <f>185749.27+5999.78</f>
        <v>191749.05</v>
      </c>
      <c r="H205" s="18">
        <v>5730.11</v>
      </c>
      <c r="I205" s="18">
        <v>3985.44</v>
      </c>
      <c r="J205" s="18"/>
      <c r="K205" s="18">
        <v>3287.99</v>
      </c>
      <c r="L205" s="19">
        <f t="shared" si="0"/>
        <v>614099.47999999986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405221.93+6576.18</f>
        <v>411798.11</v>
      </c>
      <c r="G207" s="18">
        <v>139912</v>
      </c>
      <c r="H207" s="18">
        <f>148669.82+24500+491.82</f>
        <v>173661.64</v>
      </c>
      <c r="I207" s="18">
        <f>216503.19+7037.11</f>
        <v>223540.3</v>
      </c>
      <c r="J207" s="18">
        <f>24876.64+5881.1+982.29</f>
        <v>31740.03</v>
      </c>
      <c r="K207" s="18">
        <v>19.95</v>
      </c>
      <c r="L207" s="19">
        <f t="shared" si="0"/>
        <v>980672.03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547275.48+159801.9+8856.18+8882.92+17256.42</f>
        <v>742072.90000000014</v>
      </c>
      <c r="I208" s="18"/>
      <c r="J208" s="18"/>
      <c r="K208" s="18"/>
      <c r="L208" s="19">
        <f t="shared" si="0"/>
        <v>742072.90000000014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v>883.5</v>
      </c>
      <c r="L209" s="19">
        <f>SUM(F209:K209)</f>
        <v>883.5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6829143.5399999991</v>
      </c>
      <c r="G211" s="41">
        <f t="shared" si="1"/>
        <v>2551598.2399999998</v>
      </c>
      <c r="H211" s="41">
        <f t="shared" si="1"/>
        <v>1876924.1600000001</v>
      </c>
      <c r="I211" s="41">
        <f t="shared" si="1"/>
        <v>417680.15</v>
      </c>
      <c r="J211" s="41">
        <f t="shared" si="1"/>
        <v>145243.89000000001</v>
      </c>
      <c r="K211" s="41">
        <f t="shared" si="1"/>
        <v>20646.98</v>
      </c>
      <c r="L211" s="41">
        <f t="shared" si="1"/>
        <v>11841236.960000001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>
        <v>3013.5</v>
      </c>
      <c r="I250" s="18">
        <f>6449.74+14955.39</f>
        <v>21405.129999999997</v>
      </c>
      <c r="J250" s="18">
        <v>7701.17</v>
      </c>
      <c r="K250" s="18"/>
      <c r="L250" s="19">
        <f t="shared" ref="L250:L255" si="6">SUM(F250:K250)</f>
        <v>32119.799999999996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56515</v>
      </c>
      <c r="I255" s="18"/>
      <c r="J255" s="18"/>
      <c r="K255" s="18"/>
      <c r="L255" s="19">
        <f t="shared" si="6"/>
        <v>56515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59528.5</v>
      </c>
      <c r="I256" s="41">
        <f t="shared" si="7"/>
        <v>21405.129999999997</v>
      </c>
      <c r="J256" s="41">
        <f t="shared" si="7"/>
        <v>7701.17</v>
      </c>
      <c r="K256" s="41">
        <f t="shared" si="7"/>
        <v>0</v>
      </c>
      <c r="L256" s="41">
        <f>SUM(F256:K256)</f>
        <v>88634.8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6829143.5399999991</v>
      </c>
      <c r="G257" s="41">
        <f t="shared" si="8"/>
        <v>2551598.2399999998</v>
      </c>
      <c r="H257" s="41">
        <f t="shared" si="8"/>
        <v>1936452.6600000001</v>
      </c>
      <c r="I257" s="41">
        <f t="shared" si="8"/>
        <v>439085.28</v>
      </c>
      <c r="J257" s="41">
        <f t="shared" si="8"/>
        <v>152945.06000000003</v>
      </c>
      <c r="K257" s="41">
        <f t="shared" si="8"/>
        <v>20646.98</v>
      </c>
      <c r="L257" s="41">
        <f t="shared" si="8"/>
        <v>11929871.760000002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118672.87</v>
      </c>
      <c r="L260" s="19">
        <f>SUM(F260:K260)</f>
        <v>118672.87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20249.5</v>
      </c>
      <c r="L261" s="19">
        <f>SUM(F261:K261)</f>
        <v>20249.5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213922.37</v>
      </c>
      <c r="L270" s="41">
        <f t="shared" si="9"/>
        <v>213922.37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6829143.5399999991</v>
      </c>
      <c r="G271" s="42">
        <f t="shared" si="11"/>
        <v>2551598.2399999998</v>
      </c>
      <c r="H271" s="42">
        <f t="shared" si="11"/>
        <v>1936452.6600000001</v>
      </c>
      <c r="I271" s="42">
        <f t="shared" si="11"/>
        <v>439085.28</v>
      </c>
      <c r="J271" s="42">
        <f t="shared" si="11"/>
        <v>152945.06000000003</v>
      </c>
      <c r="K271" s="42">
        <f t="shared" si="11"/>
        <v>234569.35</v>
      </c>
      <c r="L271" s="42">
        <f t="shared" si="11"/>
        <v>12143794.130000001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175411.25</v>
      </c>
      <c r="G276" s="18">
        <v>49261.120000000003</v>
      </c>
      <c r="H276" s="18">
        <v>19789.45</v>
      </c>
      <c r="I276" s="18">
        <f>21107.91-584.78</f>
        <v>20523.13</v>
      </c>
      <c r="J276" s="18"/>
      <c r="K276" s="18">
        <v>2553.75</v>
      </c>
      <c r="L276" s="19">
        <f>SUM(F276:K276)</f>
        <v>267538.7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77213.52</v>
      </c>
      <c r="G277" s="18">
        <v>7002.07</v>
      </c>
      <c r="H277" s="18">
        <v>15706</v>
      </c>
      <c r="I277" s="18">
        <f>23243.25-259.73</f>
        <v>22983.52</v>
      </c>
      <c r="J277" s="18">
        <v>14687.19</v>
      </c>
      <c r="K277" s="18"/>
      <c r="L277" s="19">
        <f>SUM(F277:K277)</f>
        <v>137592.29999999999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15741.9</v>
      </c>
      <c r="G279" s="18">
        <v>2091.5300000000002</v>
      </c>
      <c r="H279" s="18"/>
      <c r="I279" s="18"/>
      <c r="J279" s="18"/>
      <c r="K279" s="18"/>
      <c r="L279" s="19">
        <f>SUM(F279:K279)</f>
        <v>17833.43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2817.5</v>
      </c>
      <c r="G283" s="18">
        <v>679.3</v>
      </c>
      <c r="H283" s="18"/>
      <c r="I283" s="18"/>
      <c r="J283" s="18"/>
      <c r="K283" s="18">
        <v>5953.01</v>
      </c>
      <c r="L283" s="19">
        <f t="shared" si="12"/>
        <v>9449.8100000000013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8300</v>
      </c>
      <c r="I287" s="18"/>
      <c r="J287" s="18"/>
      <c r="K287" s="18"/>
      <c r="L287" s="19">
        <f t="shared" si="12"/>
        <v>8300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271184.17000000004</v>
      </c>
      <c r="G290" s="42">
        <f t="shared" si="13"/>
        <v>59034.020000000004</v>
      </c>
      <c r="H290" s="42">
        <f t="shared" si="13"/>
        <v>43795.45</v>
      </c>
      <c r="I290" s="42">
        <f t="shared" si="13"/>
        <v>43506.65</v>
      </c>
      <c r="J290" s="42">
        <f t="shared" si="13"/>
        <v>14687.19</v>
      </c>
      <c r="K290" s="42">
        <f t="shared" si="13"/>
        <v>8506.76</v>
      </c>
      <c r="L290" s="41">
        <f t="shared" si="13"/>
        <v>440714.23999999999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271184.17000000004</v>
      </c>
      <c r="G338" s="41">
        <f t="shared" si="20"/>
        <v>59034.020000000004</v>
      </c>
      <c r="H338" s="41">
        <f t="shared" si="20"/>
        <v>43795.45</v>
      </c>
      <c r="I338" s="41">
        <f t="shared" si="20"/>
        <v>43506.65</v>
      </c>
      <c r="J338" s="41">
        <f t="shared" si="20"/>
        <v>14687.19</v>
      </c>
      <c r="K338" s="41">
        <f t="shared" si="20"/>
        <v>8506.76</v>
      </c>
      <c r="L338" s="41">
        <f t="shared" si="20"/>
        <v>440714.23999999999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271184.17000000004</v>
      </c>
      <c r="G352" s="41">
        <f>G338</f>
        <v>59034.020000000004</v>
      </c>
      <c r="H352" s="41">
        <f>H338</f>
        <v>43795.45</v>
      </c>
      <c r="I352" s="41">
        <f>I338</f>
        <v>43506.65</v>
      </c>
      <c r="J352" s="41">
        <f>J338</f>
        <v>14687.19</v>
      </c>
      <c r="K352" s="47">
        <f>K338+K351</f>
        <v>8506.76</v>
      </c>
      <c r="L352" s="41">
        <f>L338+L351</f>
        <v>440714.23999999999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53756+113984.5+236.5+2840.2+6640.37+1994.59+3224-85.4-2863.08</f>
        <v>179727.68000000002</v>
      </c>
      <c r="G358" s="18">
        <f>715.6+317.25+399.24+114.22</f>
        <v>1546.31</v>
      </c>
      <c r="H358" s="18">
        <f>4560.43+620+3310.95</f>
        <v>8491.380000000001</v>
      </c>
      <c r="I358" s="18">
        <f>7963.53+122394.31+24790.82+1460+1738.13+21297.78+148.67</f>
        <v>179793.24000000002</v>
      </c>
      <c r="J358" s="18">
        <v>1961.54</v>
      </c>
      <c r="K358" s="18">
        <v>2340.58</v>
      </c>
      <c r="L358" s="13">
        <f>SUM(F358:K358)</f>
        <v>373860.73000000004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179727.68000000002</v>
      </c>
      <c r="G362" s="47">
        <f t="shared" si="22"/>
        <v>1546.31</v>
      </c>
      <c r="H362" s="47">
        <f t="shared" si="22"/>
        <v>8491.380000000001</v>
      </c>
      <c r="I362" s="47">
        <f t="shared" si="22"/>
        <v>179793.24000000002</v>
      </c>
      <c r="J362" s="47">
        <f t="shared" si="22"/>
        <v>1961.54</v>
      </c>
      <c r="K362" s="47">
        <f t="shared" si="22"/>
        <v>2340.58</v>
      </c>
      <c r="L362" s="47">
        <f t="shared" si="22"/>
        <v>373860.73000000004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122394.31+24790.82+21297.78+148.67</f>
        <v>168631.58000000002</v>
      </c>
      <c r="G367" s="18"/>
      <c r="H367" s="18"/>
      <c r="I367" s="56">
        <f>SUM(F367:H367)</f>
        <v>168631.58000000002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7963.53+1460+1738.13</f>
        <v>11161.66</v>
      </c>
      <c r="G368" s="63"/>
      <c r="H368" s="63"/>
      <c r="I368" s="56">
        <f>SUM(F368:H368)</f>
        <v>11161.66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179793.24000000002</v>
      </c>
      <c r="G369" s="47">
        <f>SUM(G367:G368)</f>
        <v>0</v>
      </c>
      <c r="H369" s="47">
        <f>SUM(H367:H368)</f>
        <v>0</v>
      </c>
      <c r="I369" s="47">
        <f>SUM(I367:I368)</f>
        <v>179793.24000000002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f>43.56+784.96+627.39</f>
        <v>1455.9099999999999</v>
      </c>
      <c r="I396" s="18"/>
      <c r="J396" s="24" t="s">
        <v>289</v>
      </c>
      <c r="K396" s="24" t="s">
        <v>289</v>
      </c>
      <c r="L396" s="56">
        <f t="shared" si="26"/>
        <v>51455.91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f>126.87+2412.69+706.75</f>
        <v>3246.31</v>
      </c>
      <c r="I397" s="18"/>
      <c r="J397" s="24" t="s">
        <v>289</v>
      </c>
      <c r="K397" s="24" t="s">
        <v>289</v>
      </c>
      <c r="L397" s="56">
        <f t="shared" si="26"/>
        <v>28246.31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4702.2199999999993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79702.22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4702.2199999999993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79702.22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f>145000+23910</f>
        <v>168910</v>
      </c>
      <c r="L426" s="56">
        <f t="shared" si="29"/>
        <v>168910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168910</v>
      </c>
      <c r="L427" s="47">
        <f t="shared" si="30"/>
        <v>168910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168910</v>
      </c>
      <c r="L434" s="47">
        <f t="shared" si="32"/>
        <v>168910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83207.67</v>
      </c>
      <c r="H440" s="18"/>
      <c r="I440" s="56">
        <f t="shared" si="33"/>
        <v>83207.67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83207.67</v>
      </c>
      <c r="H446" s="13">
        <f>SUM(H439:H445)</f>
        <v>0</v>
      </c>
      <c r="I446" s="13">
        <f>SUM(I439:I445)</f>
        <v>83207.67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83207.67</v>
      </c>
      <c r="H459" s="18"/>
      <c r="I459" s="56">
        <f t="shared" si="34"/>
        <v>83207.67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83207.67</v>
      </c>
      <c r="H460" s="83">
        <f>SUM(H454:H459)</f>
        <v>0</v>
      </c>
      <c r="I460" s="83">
        <f>SUM(I454:I459)</f>
        <v>83207.67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83207.67</v>
      </c>
      <c r="H461" s="42">
        <f>H452+H460</f>
        <v>0</v>
      </c>
      <c r="I461" s="42">
        <f>I452+I460</f>
        <v>83207.67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484687.88</v>
      </c>
      <c r="G465" s="18">
        <v>4488.76</v>
      </c>
      <c r="H465" s="18">
        <v>0</v>
      </c>
      <c r="I465" s="18"/>
      <c r="J465" s="18">
        <v>172415.45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12375997.35</v>
      </c>
      <c r="G468" s="18">
        <v>398715.15</v>
      </c>
      <c r="H468" s="18">
        <v>440714.23999999999</v>
      </c>
      <c r="I468" s="18"/>
      <c r="J468" s="18">
        <v>79702.22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3856.56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12379853.91</v>
      </c>
      <c r="G470" s="53">
        <f>SUM(G468:G469)</f>
        <v>398715.15</v>
      </c>
      <c r="H470" s="53">
        <f>SUM(H468:H469)</f>
        <v>440714.23999999999</v>
      </c>
      <c r="I470" s="53">
        <f>SUM(I468:I469)</f>
        <v>0</v>
      </c>
      <c r="J470" s="53">
        <f>SUM(J468:J469)</f>
        <v>79702.22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12143794.130000001</v>
      </c>
      <c r="G472" s="18">
        <v>373860.73</v>
      </c>
      <c r="H472" s="18">
        <v>440714.23999999999</v>
      </c>
      <c r="I472" s="18"/>
      <c r="J472" s="18">
        <v>168910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12143794.130000001</v>
      </c>
      <c r="G474" s="53">
        <f>SUM(G472:G473)</f>
        <v>373860.73</v>
      </c>
      <c r="H474" s="53">
        <f>SUM(H472:H473)</f>
        <v>440714.23999999999</v>
      </c>
      <c r="I474" s="53">
        <f>SUM(I472:I473)</f>
        <v>0</v>
      </c>
      <c r="J474" s="53">
        <f>SUM(J472:J473)</f>
        <v>168910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720747.66000000015</v>
      </c>
      <c r="G476" s="53">
        <f>(G465+G470)- G474</f>
        <v>29343.180000000051</v>
      </c>
      <c r="H476" s="53">
        <f>(H465+H470)- H474</f>
        <v>0</v>
      </c>
      <c r="I476" s="53">
        <f>(I465+I470)- I474</f>
        <v>0</v>
      </c>
      <c r="J476" s="53">
        <f>(J465+J470)- J474</f>
        <v>83207.670000000013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919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919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4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1780093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1.26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1269093.03</v>
      </c>
      <c r="G495" s="18"/>
      <c r="H495" s="18"/>
      <c r="I495" s="18"/>
      <c r="J495" s="18"/>
      <c r="K495" s="53">
        <f>SUM(F495:J495)</f>
        <v>1269093.03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138922.37</v>
      </c>
      <c r="G497" s="18"/>
      <c r="H497" s="18"/>
      <c r="I497" s="18"/>
      <c r="J497" s="18"/>
      <c r="K497" s="53">
        <f t="shared" si="35"/>
        <v>138922.37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1150420.1599999999</v>
      </c>
      <c r="G498" s="204"/>
      <c r="H498" s="204"/>
      <c r="I498" s="204"/>
      <c r="J498" s="204"/>
      <c r="K498" s="205">
        <f t="shared" si="35"/>
        <v>1150420.1599999999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67981.41</v>
      </c>
      <c r="G499" s="18"/>
      <c r="H499" s="18"/>
      <c r="I499" s="18"/>
      <c r="J499" s="18"/>
      <c r="K499" s="53">
        <f t="shared" si="35"/>
        <v>67981.41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1218401.5699999998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1218401.5699999998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118672.87</v>
      </c>
      <c r="G501" s="204"/>
      <c r="H501" s="204"/>
      <c r="I501" s="204"/>
      <c r="J501" s="204"/>
      <c r="K501" s="205">
        <f t="shared" si="35"/>
        <v>118672.87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13748</v>
      </c>
      <c r="G502" s="18"/>
      <c r="H502" s="18"/>
      <c r="I502" s="18"/>
      <c r="J502" s="18"/>
      <c r="K502" s="53">
        <f t="shared" si="35"/>
        <v>13748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132420.87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132420.87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597839.2+423006.25+59033.34</f>
        <v>1079878.79</v>
      </c>
      <c r="G521" s="18">
        <f>279426.5+36505.44+7002.07</f>
        <v>322934.01</v>
      </c>
      <c r="H521" s="18">
        <f>404225.43-5916.8+15706</f>
        <v>414014.63</v>
      </c>
      <c r="I521" s="18">
        <f>4626.91+23243.25-259.73</f>
        <v>27610.43</v>
      </c>
      <c r="J521" s="18">
        <f>1254.08+14687.19</f>
        <v>15941.27</v>
      </c>
      <c r="K521" s="18"/>
      <c r="L521" s="88">
        <f>SUM(F521:K521)</f>
        <v>1860379.1300000001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1079878.79</v>
      </c>
      <c r="G524" s="108">
        <f t="shared" ref="G524:L524" si="36">SUM(G521:G523)</f>
        <v>322934.01</v>
      </c>
      <c r="H524" s="108">
        <f t="shared" si="36"/>
        <v>414014.63</v>
      </c>
      <c r="I524" s="108">
        <f t="shared" si="36"/>
        <v>27610.43</v>
      </c>
      <c r="J524" s="108">
        <f t="shared" si="36"/>
        <v>15941.27</v>
      </c>
      <c r="K524" s="108">
        <f t="shared" si="36"/>
        <v>0</v>
      </c>
      <c r="L524" s="89">
        <f t="shared" si="36"/>
        <v>1860379.1300000001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134914+151705.85+18180.18</f>
        <v>304800.02999999997</v>
      </c>
      <c r="G526" s="18">
        <f>60047.53+64787.65</f>
        <v>124835.18</v>
      </c>
      <c r="H526" s="18"/>
      <c r="I526" s="18"/>
      <c r="J526" s="18"/>
      <c r="K526" s="18"/>
      <c r="L526" s="88">
        <f>SUM(F526:K526)</f>
        <v>429635.20999999996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304800.02999999997</v>
      </c>
      <c r="G529" s="89">
        <f t="shared" ref="G529:L529" si="37">SUM(G526:G528)</f>
        <v>124835.18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429635.20999999996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84478.02+48328</f>
        <v>132806.02000000002</v>
      </c>
      <c r="G531" s="18">
        <f>37351.09+17888.41</f>
        <v>55239.5</v>
      </c>
      <c r="H531" s="18"/>
      <c r="I531" s="18"/>
      <c r="J531" s="18"/>
      <c r="K531" s="18">
        <v>1349</v>
      </c>
      <c r="L531" s="88">
        <f>SUM(F531:K531)</f>
        <v>189394.52000000002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132806.02000000002</v>
      </c>
      <c r="G534" s="89">
        <f t="shared" ref="G534:L534" si="38">SUM(G531:G533)</f>
        <v>55239.5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1349</v>
      </c>
      <c r="L534" s="89">
        <f t="shared" si="38"/>
        <v>189394.52000000002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5916.8</v>
      </c>
      <c r="I536" s="18"/>
      <c r="J536" s="18"/>
      <c r="K536" s="18"/>
      <c r="L536" s="88">
        <f>SUM(F536:K536)</f>
        <v>5916.8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5916.8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5916.8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159801.9</v>
      </c>
      <c r="I541" s="18"/>
      <c r="J541" s="18"/>
      <c r="K541" s="18"/>
      <c r="L541" s="88">
        <f>SUM(F541:K541)</f>
        <v>159801.9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159801.9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159801.9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1517484.84</v>
      </c>
      <c r="G545" s="89">
        <f t="shared" ref="G545:L545" si="41">G524+G529+G534+G539+G544</f>
        <v>503008.69</v>
      </c>
      <c r="H545" s="89">
        <f t="shared" si="41"/>
        <v>579733.32999999996</v>
      </c>
      <c r="I545" s="89">
        <f t="shared" si="41"/>
        <v>27610.43</v>
      </c>
      <c r="J545" s="89">
        <f t="shared" si="41"/>
        <v>15941.27</v>
      </c>
      <c r="K545" s="89">
        <f t="shared" si="41"/>
        <v>1349</v>
      </c>
      <c r="L545" s="89">
        <f t="shared" si="41"/>
        <v>2645127.5599999996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1860379.1300000001</v>
      </c>
      <c r="G549" s="87">
        <f>L526</f>
        <v>429635.20999999996</v>
      </c>
      <c r="H549" s="87">
        <f>L531</f>
        <v>189394.52000000002</v>
      </c>
      <c r="I549" s="87">
        <f>L536</f>
        <v>5916.8</v>
      </c>
      <c r="J549" s="87">
        <f>L541</f>
        <v>159801.9</v>
      </c>
      <c r="K549" s="87">
        <f>SUM(F549:J549)</f>
        <v>2645127.5599999996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1860379.1300000001</v>
      </c>
      <c r="G552" s="89">
        <f t="shared" si="42"/>
        <v>429635.20999999996</v>
      </c>
      <c r="H552" s="89">
        <f t="shared" si="42"/>
        <v>189394.52000000002</v>
      </c>
      <c r="I552" s="89">
        <f t="shared" si="42"/>
        <v>5916.8</v>
      </c>
      <c r="J552" s="89">
        <f t="shared" si="42"/>
        <v>159801.9</v>
      </c>
      <c r="K552" s="89">
        <f t="shared" si="42"/>
        <v>2645127.5599999996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197246.8</v>
      </c>
      <c r="G582" s="18"/>
      <c r="H582" s="18"/>
      <c r="I582" s="87">
        <f t="shared" si="47"/>
        <v>197246.8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547275.48</v>
      </c>
      <c r="I591" s="18"/>
      <c r="J591" s="18"/>
      <c r="K591" s="104">
        <f t="shared" ref="K591:K597" si="48">SUM(H591:J591)</f>
        <v>547275.48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159801.9</v>
      </c>
      <c r="I592" s="18"/>
      <c r="J592" s="18"/>
      <c r="K592" s="104">
        <f t="shared" si="48"/>
        <v>159801.9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8856.18</v>
      </c>
      <c r="I594" s="18"/>
      <c r="J594" s="18"/>
      <c r="K594" s="104">
        <f t="shared" si="48"/>
        <v>8856.18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8882.92</v>
      </c>
      <c r="I595" s="18"/>
      <c r="J595" s="18"/>
      <c r="K595" s="104">
        <f t="shared" si="48"/>
        <v>8882.92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17256.419999999998</v>
      </c>
      <c r="I597" s="18"/>
      <c r="J597" s="18"/>
      <c r="K597" s="104">
        <f t="shared" si="48"/>
        <v>17256.419999999998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742072.90000000014</v>
      </c>
      <c r="I598" s="108">
        <f>SUM(I591:I597)</f>
        <v>0</v>
      </c>
      <c r="J598" s="108">
        <f>SUM(J591:J597)</f>
        <v>0</v>
      </c>
      <c r="K598" s="108">
        <f>SUM(K591:K597)</f>
        <v>742072.90000000014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2422.4699999999998</v>
      </c>
      <c r="I603" s="18"/>
      <c r="J603" s="18"/>
      <c r="K603" s="104">
        <f>SUM(H603:J603)</f>
        <v>2422.4699999999998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144261.6-2422.47+982.29+14687.19+7701.17</f>
        <v>165209.78000000003</v>
      </c>
      <c r="I604" s="18"/>
      <c r="J604" s="18"/>
      <c r="K604" s="104">
        <f>SUM(H604:J604)</f>
        <v>165209.78000000003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167632.25000000003</v>
      </c>
      <c r="I605" s="108">
        <f>SUM(I602:I604)</f>
        <v>0</v>
      </c>
      <c r="J605" s="108">
        <f>SUM(J602:J604)</f>
        <v>0</v>
      </c>
      <c r="K605" s="108">
        <f>SUM(K602:K604)</f>
        <v>167632.25000000003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20152.72</v>
      </c>
      <c r="G611" s="18"/>
      <c r="H611" s="18"/>
      <c r="I611" s="18"/>
      <c r="J611" s="18"/>
      <c r="K611" s="18"/>
      <c r="L611" s="88">
        <f>SUM(F611:K611)</f>
        <v>20152.72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20152.72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20152.72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893214.53000000014</v>
      </c>
      <c r="H617" s="109">
        <f>SUM(F52)</f>
        <v>893214.52999999991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31335.390000000003</v>
      </c>
      <c r="H618" s="109">
        <f>SUM(G52)</f>
        <v>31335.39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32507.86</v>
      </c>
      <c r="H619" s="109">
        <f>SUM(H52)</f>
        <v>32507.86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83207.67</v>
      </c>
      <c r="H621" s="109">
        <f>SUM(J52)</f>
        <v>83207.67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720747.65999999992</v>
      </c>
      <c r="H622" s="109">
        <f>F476</f>
        <v>720747.66000000015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29343.18</v>
      </c>
      <c r="H623" s="109">
        <f>G476</f>
        <v>29343.180000000051</v>
      </c>
      <c r="I623" s="121" t="s">
        <v>102</v>
      </c>
      <c r="J623" s="109">
        <f t="shared" si="50"/>
        <v>-5.0931703299283981E-11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83207.67</v>
      </c>
      <c r="H626" s="109">
        <f>J476</f>
        <v>83207.670000000013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12375997.35</v>
      </c>
      <c r="H627" s="104">
        <f>SUM(F468)</f>
        <v>12375997.35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398715.14999999997</v>
      </c>
      <c r="H628" s="104">
        <f>SUM(G468)</f>
        <v>398715.15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440714.23999999999</v>
      </c>
      <c r="H629" s="104">
        <f>SUM(H468)</f>
        <v>440714.23999999999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79702.22</v>
      </c>
      <c r="H631" s="104">
        <f>SUM(J468)</f>
        <v>79702.22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12143794.130000001</v>
      </c>
      <c r="H632" s="104">
        <f>SUM(F472)</f>
        <v>12143794.130000001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440714.23999999999</v>
      </c>
      <c r="H633" s="104">
        <f>SUM(H472)</f>
        <v>440714.23999999999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179793.24000000002</v>
      </c>
      <c r="H634" s="104">
        <f>I369</f>
        <v>179793.24000000002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373860.73000000004</v>
      </c>
      <c r="H635" s="104">
        <f>SUM(G472)</f>
        <v>373860.73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79702.22</v>
      </c>
      <c r="H637" s="164">
        <f>SUM(J468)</f>
        <v>79702.22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168910</v>
      </c>
      <c r="H638" s="164">
        <f>SUM(J472)</f>
        <v>168910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83207.67</v>
      </c>
      <c r="H640" s="104">
        <f>SUM(G461)</f>
        <v>83207.67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83207.67</v>
      </c>
      <c r="H642" s="104">
        <f>SUM(I461)</f>
        <v>83207.67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4702.22</v>
      </c>
      <c r="H644" s="104">
        <f>H408</f>
        <v>4702.2199999999993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79702.22</v>
      </c>
      <c r="H646" s="104">
        <f>L408</f>
        <v>79702.22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742072.90000000014</v>
      </c>
      <c r="H647" s="104">
        <f>L208+L226+L244</f>
        <v>742072.90000000014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167632.25000000003</v>
      </c>
      <c r="H648" s="104">
        <f>(J257+J338)-(J255+J336)</f>
        <v>167632.25000000003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742072.90000000014</v>
      </c>
      <c r="H649" s="104">
        <f>H598</f>
        <v>742072.90000000014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12655811.930000002</v>
      </c>
      <c r="G660" s="19">
        <f>(L229+L309+L359)</f>
        <v>0</v>
      </c>
      <c r="H660" s="19">
        <f>(L247+L328+L360)</f>
        <v>0</v>
      </c>
      <c r="I660" s="19">
        <f>SUM(F660:H660)</f>
        <v>12655811.930000002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85568.88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85568.88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750372.90000000014</v>
      </c>
      <c r="G662" s="19">
        <f>(L226+L306)-(J226+J306)</f>
        <v>0</v>
      </c>
      <c r="H662" s="19">
        <f>(L244+L325)-(J244+J325)</f>
        <v>0</v>
      </c>
      <c r="I662" s="19">
        <f>SUM(F662:H662)</f>
        <v>750372.90000000014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385031.77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385031.77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11434838.380000001</v>
      </c>
      <c r="G664" s="19">
        <f>G660-SUM(G661:G663)</f>
        <v>0</v>
      </c>
      <c r="H664" s="19">
        <f>H660-SUM(H661:H663)</f>
        <v>0</v>
      </c>
      <c r="I664" s="19">
        <f>I660-SUM(I661:I663)</f>
        <v>11434838.380000001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684.47</v>
      </c>
      <c r="G665" s="248"/>
      <c r="H665" s="248"/>
      <c r="I665" s="19">
        <f>SUM(F665:H665)</f>
        <v>684.47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16706.12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16706.12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16706.12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16706.12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SEABROOK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4117215.05</v>
      </c>
      <c r="C9" s="229">
        <f>'DOE25'!G197+'DOE25'!G215+'DOE25'!G233+'DOE25'!G276+'DOE25'!G295+'DOE25'!G314</f>
        <v>1567232.09</v>
      </c>
    </row>
    <row r="10" spans="1:3" x14ac:dyDescent="0.2">
      <c r="A10" t="s">
        <v>779</v>
      </c>
      <c r="B10" s="240">
        <f>1945263.49+1545324.42+1125+75870.96</f>
        <v>3567583.87</v>
      </c>
      <c r="C10" s="240">
        <f>17932.01+680.2+27+105+82.05+353.2+86.06+159.3+3.93+7.83+4.95+9.85+5211.17+305+15692.96+766.85+1479655.63</f>
        <v>1521082.99</v>
      </c>
    </row>
    <row r="11" spans="1:3" x14ac:dyDescent="0.2">
      <c r="A11" t="s">
        <v>780</v>
      </c>
      <c r="B11" s="240">
        <f>130709.97+97592.17+86412.34+18668.75+68613.9</f>
        <v>401997.13</v>
      </c>
      <c r="C11" s="240">
        <f>5248.96+305+28770.97</f>
        <v>34324.93</v>
      </c>
    </row>
    <row r="12" spans="1:3" x14ac:dyDescent="0.2">
      <c r="A12" t="s">
        <v>781</v>
      </c>
      <c r="B12" s="240">
        <f>79371.77+38460.89+29801.39</f>
        <v>147634.04999999999</v>
      </c>
      <c r="C12" s="240">
        <f>2279.8+9544.45-0.08</f>
        <v>11824.17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4117215.05</v>
      </c>
      <c r="C13" s="231">
        <f>SUM(C10:C12)</f>
        <v>1567232.0899999999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1365778.99</v>
      </c>
      <c r="C18" s="229">
        <f>'DOE25'!G198+'DOE25'!G216+'DOE25'!G234+'DOE25'!G277+'DOE25'!G296+'DOE25'!G315</f>
        <v>438221.04</v>
      </c>
    </row>
    <row r="19" spans="1:3" x14ac:dyDescent="0.2">
      <c r="A19" t="s">
        <v>779</v>
      </c>
      <c r="B19" s="240">
        <f>597839.2+134914</f>
        <v>732753.2</v>
      </c>
      <c r="C19" s="240">
        <f>279426.5+60047.53</f>
        <v>339474.03</v>
      </c>
    </row>
    <row r="20" spans="1:3" x14ac:dyDescent="0.2">
      <c r="A20" t="s">
        <v>780</v>
      </c>
      <c r="B20" s="240">
        <f>423006.25+59033.34+18180.18</f>
        <v>500219.76999999996</v>
      </c>
      <c r="C20" s="240">
        <f>7002.07+36505.44</f>
        <v>43507.51</v>
      </c>
    </row>
    <row r="21" spans="1:3" x14ac:dyDescent="0.2">
      <c r="A21" t="s">
        <v>781</v>
      </c>
      <c r="B21" s="240">
        <f>84478.02+48328</f>
        <v>132806.02000000002</v>
      </c>
      <c r="C21" s="240">
        <f>37351.09+17888.41</f>
        <v>55239.5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1365778.99</v>
      </c>
      <c r="C22" s="231">
        <f>SUM(C19:C21)</f>
        <v>438221.04000000004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74608.62</v>
      </c>
      <c r="C36" s="235">
        <f>'DOE25'!G200+'DOE25'!G218+'DOE25'!G236+'DOE25'!G279+'DOE25'!G298+'DOE25'!G317</f>
        <v>6859.73</v>
      </c>
    </row>
    <row r="37" spans="1:3" x14ac:dyDescent="0.2">
      <c r="A37" t="s">
        <v>779</v>
      </c>
      <c r="B37" s="240">
        <f>20152.72+15741.9</f>
        <v>35894.620000000003</v>
      </c>
      <c r="C37" s="240">
        <v>2091.5300000000002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38714</v>
      </c>
      <c r="C39" s="240">
        <v>4768.2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74608.62</v>
      </c>
      <c r="C40" s="231">
        <f>SUM(C37:C39)</f>
        <v>6859.73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SEABROOK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7837926.9200000009</v>
      </c>
      <c r="D5" s="20">
        <f>SUM('DOE25'!L197:L200)+SUM('DOE25'!L215:L218)+SUM('DOE25'!L233:L236)-F5-G5</f>
        <v>7809043.1500000004</v>
      </c>
      <c r="E5" s="243"/>
      <c r="F5" s="255">
        <f>SUM('DOE25'!J197:J200)+SUM('DOE25'!J215:J218)+SUM('DOE25'!J233:J236)</f>
        <v>17334.400000000001</v>
      </c>
      <c r="G5" s="53">
        <f>SUM('DOE25'!K197:K200)+SUM('DOE25'!K215:K218)+SUM('DOE25'!K233:K236)</f>
        <v>11549.37</v>
      </c>
      <c r="H5" s="259"/>
    </row>
    <row r="6" spans="1:9" x14ac:dyDescent="0.2">
      <c r="A6" s="32">
        <v>2100</v>
      </c>
      <c r="B6" t="s">
        <v>801</v>
      </c>
      <c r="C6" s="245">
        <f t="shared" si="0"/>
        <v>626630.13</v>
      </c>
      <c r="D6" s="20">
        <f>'DOE25'!L202+'DOE25'!L220+'DOE25'!L238-F6-G6</f>
        <v>626630.13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614805.47000000009</v>
      </c>
      <c r="D7" s="20">
        <f>'DOE25'!L203+'DOE25'!L221+'DOE25'!L239-F7-G7</f>
        <v>518636.01000000007</v>
      </c>
      <c r="E7" s="243"/>
      <c r="F7" s="255">
        <f>'DOE25'!J203+'DOE25'!J221+'DOE25'!J239</f>
        <v>96169.46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242763.21000000002</v>
      </c>
      <c r="D8" s="243"/>
      <c r="E8" s="20">
        <f>'DOE25'!L204+'DOE25'!L222+'DOE25'!L240-F8-G8-D9-D11</f>
        <v>237857.04</v>
      </c>
      <c r="F8" s="255">
        <f>'DOE25'!J204+'DOE25'!J222+'DOE25'!J240</f>
        <v>0</v>
      </c>
      <c r="G8" s="53">
        <f>'DOE25'!K204+'DOE25'!K222+'DOE25'!K240</f>
        <v>4906.17</v>
      </c>
      <c r="H8" s="259"/>
    </row>
    <row r="9" spans="1:9" x14ac:dyDescent="0.2">
      <c r="A9" s="32">
        <v>2310</v>
      </c>
      <c r="B9" t="s">
        <v>818</v>
      </c>
      <c r="C9" s="245">
        <f t="shared" si="0"/>
        <v>54376.29</v>
      </c>
      <c r="D9" s="244">
        <v>54376.29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11850</v>
      </c>
      <c r="D10" s="243"/>
      <c r="E10" s="244">
        <v>11850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127007.03</v>
      </c>
      <c r="D11" s="244">
        <v>127007.03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614099.47999999986</v>
      </c>
      <c r="D12" s="20">
        <f>'DOE25'!L205+'DOE25'!L223+'DOE25'!L241-F12-G12</f>
        <v>610811.48999999987</v>
      </c>
      <c r="E12" s="243"/>
      <c r="F12" s="255">
        <f>'DOE25'!J205+'DOE25'!J223+'DOE25'!J241</f>
        <v>0</v>
      </c>
      <c r="G12" s="53">
        <f>'DOE25'!K205+'DOE25'!K223+'DOE25'!K241</f>
        <v>3287.99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980672.03</v>
      </c>
      <c r="D14" s="20">
        <f>'DOE25'!L207+'DOE25'!L225+'DOE25'!L243-F14-G14</f>
        <v>948912.05</v>
      </c>
      <c r="E14" s="243"/>
      <c r="F14" s="255">
        <f>'DOE25'!J207+'DOE25'!J225+'DOE25'!J243</f>
        <v>31740.03</v>
      </c>
      <c r="G14" s="53">
        <f>'DOE25'!K207+'DOE25'!K225+'DOE25'!K243</f>
        <v>19.95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742072.90000000014</v>
      </c>
      <c r="D15" s="20">
        <f>'DOE25'!L208+'DOE25'!L226+'DOE25'!L244-F15-G15</f>
        <v>742072.90000000014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883.5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883.5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56515</v>
      </c>
      <c r="D22" s="243"/>
      <c r="E22" s="243"/>
      <c r="F22" s="255">
        <f>'DOE25'!L255+'DOE25'!L336</f>
        <v>56515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138922.37</v>
      </c>
      <c r="D25" s="243"/>
      <c r="E25" s="243"/>
      <c r="F25" s="258"/>
      <c r="G25" s="256"/>
      <c r="H25" s="257">
        <f>'DOE25'!L260+'DOE25'!L261+'DOE25'!L341+'DOE25'!L342</f>
        <v>138922.37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205229.15000000002</v>
      </c>
      <c r="D29" s="20">
        <f>'DOE25'!L358+'DOE25'!L359+'DOE25'!L360-'DOE25'!I367-F29-G29</f>
        <v>200927.03000000003</v>
      </c>
      <c r="E29" s="243"/>
      <c r="F29" s="255">
        <f>'DOE25'!J358+'DOE25'!J359+'DOE25'!J360</f>
        <v>1961.54</v>
      </c>
      <c r="G29" s="53">
        <f>'DOE25'!K358+'DOE25'!K359+'DOE25'!K360</f>
        <v>2340.58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440714.23999999999</v>
      </c>
      <c r="D31" s="20">
        <f>'DOE25'!L290+'DOE25'!L309+'DOE25'!L328+'DOE25'!L333+'DOE25'!L334+'DOE25'!L335-F31-G31</f>
        <v>417520.29</v>
      </c>
      <c r="E31" s="243"/>
      <c r="F31" s="255">
        <f>'DOE25'!J290+'DOE25'!J309+'DOE25'!J328+'DOE25'!J333+'DOE25'!J334+'DOE25'!J335</f>
        <v>14687.19</v>
      </c>
      <c r="G31" s="53">
        <f>'DOE25'!K290+'DOE25'!K309+'DOE25'!K328+'DOE25'!K333+'DOE25'!K334+'DOE25'!K335</f>
        <v>8506.76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12055936.369999999</v>
      </c>
      <c r="E33" s="246">
        <f>SUM(E5:E31)</f>
        <v>249707.04</v>
      </c>
      <c r="F33" s="246">
        <f>SUM(F5:F31)</f>
        <v>218407.62000000002</v>
      </c>
      <c r="G33" s="246">
        <f>SUM(G5:G31)</f>
        <v>31494.32</v>
      </c>
      <c r="H33" s="246">
        <f>SUM(H5:H31)</f>
        <v>138922.37</v>
      </c>
    </row>
    <row r="35" spans="2:8" ht="12" thickBot="1" x14ac:dyDescent="0.25">
      <c r="B35" s="253" t="s">
        <v>847</v>
      </c>
      <c r="D35" s="254">
        <f>E33</f>
        <v>249707.04</v>
      </c>
      <c r="E35" s="249"/>
    </row>
    <row r="36" spans="2:8" ht="12" thickTop="1" x14ac:dyDescent="0.2">
      <c r="B36" t="s">
        <v>815</v>
      </c>
      <c r="D36" s="20">
        <f>D33</f>
        <v>12055936.369999999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SEABROOK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846987.02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455.63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83207.67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22178.93</v>
      </c>
      <c r="D11" s="95">
        <f>'DOE25'!G12</f>
        <v>6345.81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20923.77</v>
      </c>
      <c r="D12" s="95">
        <f>'DOE25'!G13</f>
        <v>17731.990000000002</v>
      </c>
      <c r="E12" s="95">
        <f>'DOE25'!H13</f>
        <v>32507.86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2669.18</v>
      </c>
      <c r="D13" s="95">
        <f>'DOE25'!G14</f>
        <v>88.81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7168.78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893214.53000000014</v>
      </c>
      <c r="D18" s="41">
        <f>SUM(D8:D17)</f>
        <v>31335.390000000003</v>
      </c>
      <c r="E18" s="41">
        <f>SUM(E8:E17)</f>
        <v>32507.86</v>
      </c>
      <c r="F18" s="41">
        <f>SUM(F8:F17)</f>
        <v>0</v>
      </c>
      <c r="G18" s="41">
        <f>SUM(G8:G17)</f>
        <v>83207.67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28524.74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96418.240000000005</v>
      </c>
      <c r="D23" s="95">
        <f>'DOE25'!G24</f>
        <v>0</v>
      </c>
      <c r="E23" s="95">
        <f>'DOE25'!H24</f>
        <v>3983.12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8383.52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36249.9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31415.21</v>
      </c>
      <c r="D29" s="95">
        <f>'DOE25'!G30</f>
        <v>1992.21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172466.87</v>
      </c>
      <c r="D31" s="41">
        <f>SUM(D21:D30)</f>
        <v>1992.21</v>
      </c>
      <c r="E31" s="41">
        <f>SUM(E21:E30)</f>
        <v>32507.86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7168.78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22174.400000000001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3481.21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83207.67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18151.25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599115.19999999995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720747.65999999992</v>
      </c>
      <c r="D50" s="41">
        <f>SUM(D34:D49)</f>
        <v>29343.18</v>
      </c>
      <c r="E50" s="41">
        <f>SUM(E34:E49)</f>
        <v>0</v>
      </c>
      <c r="F50" s="41">
        <f>SUM(F34:F49)</f>
        <v>0</v>
      </c>
      <c r="G50" s="41">
        <f>SUM(G34:G49)</f>
        <v>83207.67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893214.52999999991</v>
      </c>
      <c r="D51" s="41">
        <f>D50+D31</f>
        <v>31335.39</v>
      </c>
      <c r="E51" s="41">
        <f>E50+E31</f>
        <v>32507.86</v>
      </c>
      <c r="F51" s="41">
        <f>F50+F31</f>
        <v>0</v>
      </c>
      <c r="G51" s="41">
        <f>G50+G31</f>
        <v>83207.67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8971504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436.06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4702.22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85568.88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131144.59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131580.65</v>
      </c>
      <c r="D62" s="130">
        <f>SUM(D57:D61)</f>
        <v>85568.88</v>
      </c>
      <c r="E62" s="130">
        <f>SUM(E57:E61)</f>
        <v>0</v>
      </c>
      <c r="F62" s="130">
        <f>SUM(F57:F61)</f>
        <v>0</v>
      </c>
      <c r="G62" s="130">
        <f>SUM(G57:G61)</f>
        <v>4702.22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9103084.6500000004</v>
      </c>
      <c r="D63" s="22">
        <f>D56+D62</f>
        <v>85568.88</v>
      </c>
      <c r="E63" s="22">
        <f>E56+E62</f>
        <v>0</v>
      </c>
      <c r="F63" s="22">
        <f>F56+F62</f>
        <v>0</v>
      </c>
      <c r="G63" s="22">
        <f>G56+G62</f>
        <v>4702.22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747251.78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2189749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2937000.7800000003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36200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39329.06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5474.49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75529.06</v>
      </c>
      <c r="D78" s="130">
        <f>SUM(D72:D77)</f>
        <v>5474.49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3012529.8400000003</v>
      </c>
      <c r="D81" s="130">
        <f>SUM(D79:D80)+D78+D70</f>
        <v>5474.49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9811.67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91472.86</v>
      </c>
      <c r="D88" s="95">
        <f>SUM('DOE25'!G153:G161)</f>
        <v>273069.28999999998</v>
      </c>
      <c r="E88" s="95">
        <f>SUM('DOE25'!H153:H161)</f>
        <v>440714.23999999999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24790.82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91472.86</v>
      </c>
      <c r="D91" s="131">
        <f>SUM(D85:D90)</f>
        <v>307671.77999999997</v>
      </c>
      <c r="E91" s="131">
        <f>SUM(E85:E90)</f>
        <v>440714.23999999999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168910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168910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12375997.35</v>
      </c>
      <c r="D104" s="86">
        <f>D63+D81+D91+D103</f>
        <v>398715.14999999997</v>
      </c>
      <c r="E104" s="86">
        <f>E63+E81+E91+E103</f>
        <v>440714.23999999999</v>
      </c>
      <c r="F104" s="86">
        <f>F63+F81+F91+F103</f>
        <v>0</v>
      </c>
      <c r="G104" s="86">
        <f>G63+G81+G103</f>
        <v>79702.22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5619410.3700000001</v>
      </c>
      <c r="D109" s="24" t="s">
        <v>289</v>
      </c>
      <c r="E109" s="95">
        <f>('DOE25'!L276)+('DOE25'!L295)+('DOE25'!L314)</f>
        <v>267538.7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2131239.8600000003</v>
      </c>
      <c r="D110" s="24" t="s">
        <v>289</v>
      </c>
      <c r="E110" s="95">
        <f>('DOE25'!L277)+('DOE25'!L296)+('DOE25'!L315)</f>
        <v>137592.29999999999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87276.689999999988</v>
      </c>
      <c r="D112" s="24" t="s">
        <v>289</v>
      </c>
      <c r="E112" s="95">
        <f>+('DOE25'!L279)+('DOE25'!L298)+('DOE25'!L317)</f>
        <v>17833.43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32119.799999999996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7870046.7200000007</v>
      </c>
      <c r="D115" s="86">
        <f>SUM(D109:D114)</f>
        <v>0</v>
      </c>
      <c r="E115" s="86">
        <f>SUM(E109:E114)</f>
        <v>422964.43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626630.13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614805.47000000009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424146.52999999997</v>
      </c>
      <c r="D120" s="24" t="s">
        <v>289</v>
      </c>
      <c r="E120" s="95">
        <f>+('DOE25'!L283)+('DOE25'!L302)+('DOE25'!L321)</f>
        <v>9449.8100000000013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614099.47999999986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980672.03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742072.90000000014</v>
      </c>
      <c r="D124" s="24" t="s">
        <v>289</v>
      </c>
      <c r="E124" s="95">
        <f>+('DOE25'!L287)+('DOE25'!L306)+('DOE25'!L325)</f>
        <v>8300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883.5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373860.73000000004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4003310.04</v>
      </c>
      <c r="D128" s="86">
        <f>SUM(D118:D127)</f>
        <v>373860.73000000004</v>
      </c>
      <c r="E128" s="86">
        <f>SUM(E118:E127)</f>
        <v>17749.810000000001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56515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118672.87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20249.5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168910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79702.22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-4702.2200000000012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270437.37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168910</v>
      </c>
    </row>
    <row r="145" spans="1:9" ht="12.75" thickTop="1" thickBot="1" x14ac:dyDescent="0.25">
      <c r="A145" s="33" t="s">
        <v>244</v>
      </c>
      <c r="C145" s="86">
        <f>(C115+C128+C144)</f>
        <v>12143794.130000001</v>
      </c>
      <c r="D145" s="86">
        <f>(D115+D128+D144)</f>
        <v>373860.73000000004</v>
      </c>
      <c r="E145" s="86">
        <f>(E115+E128+E144)</f>
        <v>440714.23999999999</v>
      </c>
      <c r="F145" s="86">
        <f>(F115+F128+F144)</f>
        <v>0</v>
      </c>
      <c r="G145" s="86">
        <f>(G115+G128+G144)</f>
        <v>168910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April 2010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April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1780093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1.26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1269093.03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1269093.03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138922.37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138922.37</v>
      </c>
    </row>
    <row r="159" spans="1:9" x14ac:dyDescent="0.2">
      <c r="A159" s="22" t="s">
        <v>35</v>
      </c>
      <c r="B159" s="137">
        <f>'DOE25'!F498</f>
        <v>1150420.1599999999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1150420.1599999999</v>
      </c>
    </row>
    <row r="160" spans="1:9" x14ac:dyDescent="0.2">
      <c r="A160" s="22" t="s">
        <v>36</v>
      </c>
      <c r="B160" s="137">
        <f>'DOE25'!F499</f>
        <v>67981.41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67981.41</v>
      </c>
    </row>
    <row r="161" spans="1:7" x14ac:dyDescent="0.2">
      <c r="A161" s="22" t="s">
        <v>37</v>
      </c>
      <c r="B161" s="137">
        <f>'DOE25'!F500</f>
        <v>1218401.5699999998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1218401.5699999998</v>
      </c>
    </row>
    <row r="162" spans="1:7" x14ac:dyDescent="0.2">
      <c r="A162" s="22" t="s">
        <v>38</v>
      </c>
      <c r="B162" s="137">
        <f>'DOE25'!F501</f>
        <v>118672.87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118672.87</v>
      </c>
    </row>
    <row r="163" spans="1:7" x14ac:dyDescent="0.2">
      <c r="A163" s="22" t="s">
        <v>39</v>
      </c>
      <c r="B163" s="137">
        <f>'DOE25'!F502</f>
        <v>13748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13748</v>
      </c>
    </row>
    <row r="164" spans="1:7" x14ac:dyDescent="0.2">
      <c r="A164" s="22" t="s">
        <v>246</v>
      </c>
      <c r="B164" s="137">
        <f>'DOE25'!F503</f>
        <v>132420.87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132420.87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SEABROOK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16706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16706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5886949</v>
      </c>
      <c r="D10" s="182">
        <f>ROUND((C10/$C$28)*100,1)</f>
        <v>46.6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2268832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105110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626630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614805</v>
      </c>
      <c r="D16" s="182">
        <f t="shared" si="0"/>
        <v>4.9000000000000004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434480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614099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980672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750373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32120</v>
      </c>
      <c r="D23" s="182">
        <f t="shared" si="0"/>
        <v>0.3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20250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288292.12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12622612.119999999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56515</v>
      </c>
    </row>
    <row r="30" spans="1:4" x14ac:dyDescent="0.2">
      <c r="B30" s="187" t="s">
        <v>729</v>
      </c>
      <c r="C30" s="180">
        <f>SUM(C28:C29)</f>
        <v>12679127.119999999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118673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8971504</v>
      </c>
      <c r="D35" s="182">
        <f t="shared" ref="D35:D40" si="1">ROUND((C35/$C$41)*100,1)</f>
        <v>69.2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136282.87000000104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2937001</v>
      </c>
      <c r="D37" s="182">
        <f t="shared" si="1"/>
        <v>22.7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81004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839859</v>
      </c>
      <c r="D39" s="182">
        <f t="shared" si="1"/>
        <v>6.5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12965650.870000001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51" sqref="B5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SEABROOK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24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5</v>
      </c>
      <c r="B5" s="219">
        <v>2</v>
      </c>
      <c r="C5" s="285" t="s">
        <v>916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5</v>
      </c>
      <c r="B6" s="219">
        <v>14</v>
      </c>
      <c r="C6" s="285" t="s">
        <v>918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15</v>
      </c>
      <c r="B7" s="219"/>
      <c r="C7" s="285" t="s">
        <v>917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2016-09-19T13:27:51Z</cp:lastPrinted>
  <dcterms:created xsi:type="dcterms:W3CDTF">1997-12-04T19:04:30Z</dcterms:created>
  <dcterms:modified xsi:type="dcterms:W3CDTF">2016-09-19T13:32:08Z</dcterms:modified>
</cp:coreProperties>
</file>