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B37" i="12" l="1"/>
  <c r="C38" i="12"/>
  <c r="C37" i="12"/>
  <c r="B38" i="12"/>
  <c r="C19" i="12"/>
  <c r="B19" i="12"/>
  <c r="C11" i="12"/>
  <c r="C10" i="12"/>
  <c r="B11" i="12"/>
  <c r="B10" i="12"/>
  <c r="H543" i="1"/>
  <c r="H541" i="1"/>
  <c r="G97" i="1"/>
  <c r="H244" i="1"/>
  <c r="H226" i="1"/>
  <c r="K263" i="1" l="1"/>
  <c r="H255" i="1"/>
  <c r="G317" i="1" l="1"/>
  <c r="H301" i="1"/>
  <c r="F317" i="1"/>
  <c r="I279" i="1"/>
  <c r="H315" i="1"/>
  <c r="H296" i="1"/>
  <c r="F277" i="1"/>
  <c r="G22" i="1" l="1"/>
  <c r="H154" i="1" l="1"/>
  <c r="H110" i="1"/>
  <c r="G110" i="1"/>
  <c r="F57" i="1" l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E16" i="13" s="1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D7" i="13" s="1"/>
  <c r="C7" i="13" s="1"/>
  <c r="L203" i="1"/>
  <c r="L221" i="1"/>
  <c r="L239" i="1"/>
  <c r="F12" i="13"/>
  <c r="G12" i="13"/>
  <c r="L205" i="1"/>
  <c r="L223" i="1"/>
  <c r="L241" i="1"/>
  <c r="F14" i="13"/>
  <c r="G14" i="13"/>
  <c r="L207" i="1"/>
  <c r="L225" i="1"/>
  <c r="C20" i="10" s="1"/>
  <c r="L243" i="1"/>
  <c r="F15" i="13"/>
  <c r="G15" i="13"/>
  <c r="L208" i="1"/>
  <c r="L226" i="1"/>
  <c r="L244" i="1"/>
  <c r="F17" i="13"/>
  <c r="G17" i="13"/>
  <c r="D17" i="13" s="1"/>
  <c r="C17" i="13" s="1"/>
  <c r="L251" i="1"/>
  <c r="F18" i="13"/>
  <c r="G18" i="13"/>
  <c r="L252" i="1"/>
  <c r="C114" i="2" s="1"/>
  <c r="F19" i="13"/>
  <c r="G19" i="13"/>
  <c r="L253" i="1"/>
  <c r="F29" i="13"/>
  <c r="G29" i="13"/>
  <c r="L358" i="1"/>
  <c r="L359" i="1"/>
  <c r="L360" i="1"/>
  <c r="G661" i="1" s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E114" i="2" s="1"/>
  <c r="L334" i="1"/>
  <c r="L335" i="1"/>
  <c r="L260" i="1"/>
  <c r="L261" i="1"/>
  <c r="C132" i="2" s="1"/>
  <c r="L341" i="1"/>
  <c r="C32" i="10" s="1"/>
  <c r="L342" i="1"/>
  <c r="L255" i="1"/>
  <c r="L336" i="1"/>
  <c r="C11" i="13"/>
  <c r="C10" i="13"/>
  <c r="C9" i="13"/>
  <c r="L361" i="1"/>
  <c r="B4" i="12"/>
  <c r="B36" i="12"/>
  <c r="C36" i="12"/>
  <c r="B40" i="12"/>
  <c r="A40" i="12" s="1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93" i="1" s="1"/>
  <c r="C138" i="2" s="1"/>
  <c r="L389" i="1"/>
  <c r="L390" i="1"/>
  <c r="L391" i="1"/>
  <c r="L392" i="1"/>
  <c r="L395" i="1"/>
  <c r="L396" i="1"/>
  <c r="L397" i="1"/>
  <c r="L398" i="1"/>
  <c r="L401" i="1" s="1"/>
  <c r="C139" i="2" s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C57" i="2" s="1"/>
  <c r="F94" i="1"/>
  <c r="F111" i="1"/>
  <c r="G111" i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F169" i="1" s="1"/>
  <c r="G147" i="1"/>
  <c r="D85" i="2" s="1"/>
  <c r="G162" i="1"/>
  <c r="H147" i="1"/>
  <c r="H162" i="1"/>
  <c r="H169" i="1" s="1"/>
  <c r="I147" i="1"/>
  <c r="I162" i="1"/>
  <c r="C11" i="10"/>
  <c r="C16" i="10"/>
  <c r="L250" i="1"/>
  <c r="L332" i="1"/>
  <c r="L254" i="1"/>
  <c r="L268" i="1"/>
  <c r="C142" i="2" s="1"/>
  <c r="L269" i="1"/>
  <c r="L349" i="1"/>
  <c r="L350" i="1"/>
  <c r="E143" i="2" s="1"/>
  <c r="I665" i="1"/>
  <c r="I670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E134" i="2" s="1"/>
  <c r="L345" i="1"/>
  <c r="E135" i="2" s="1"/>
  <c r="L346" i="1"/>
  <c r="L347" i="1"/>
  <c r="L351" i="1" s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L270" i="1" s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G36" i="2" s="1"/>
  <c r="I459" i="1"/>
  <c r="J48" i="1" s="1"/>
  <c r="G47" i="2" s="1"/>
  <c r="C49" i="2"/>
  <c r="E56" i="2"/>
  <c r="F56" i="2"/>
  <c r="C58" i="2"/>
  <c r="E58" i="2"/>
  <c r="C59" i="2"/>
  <c r="D59" i="2"/>
  <c r="E59" i="2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E79" i="2"/>
  <c r="C80" i="2"/>
  <c r="E80" i="2"/>
  <c r="C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C109" i="2"/>
  <c r="E110" i="2"/>
  <c r="E111" i="2"/>
  <c r="C112" i="2"/>
  <c r="E112" i="2"/>
  <c r="C113" i="2"/>
  <c r="E113" i="2"/>
  <c r="D115" i="2"/>
  <c r="F115" i="2"/>
  <c r="G115" i="2"/>
  <c r="E119" i="2"/>
  <c r="E120" i="2"/>
  <c r="E121" i="2"/>
  <c r="E123" i="2"/>
  <c r="E124" i="2"/>
  <c r="C125" i="2"/>
  <c r="E125" i="2"/>
  <c r="F128" i="2"/>
  <c r="G128" i="2"/>
  <c r="C130" i="2"/>
  <c r="D134" i="2"/>
  <c r="D144" i="2" s="1"/>
  <c r="F134" i="2"/>
  <c r="K419" i="1"/>
  <c r="K427" i="1"/>
  <c r="K433" i="1"/>
  <c r="L263" i="1"/>
  <c r="C135" i="2" s="1"/>
  <c r="L264" i="1"/>
  <c r="C136" i="2" s="1"/>
  <c r="L265" i="1"/>
  <c r="C137" i="2" s="1"/>
  <c r="E137" i="2"/>
  <c r="E142" i="2"/>
  <c r="C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G620" i="1" s="1"/>
  <c r="F32" i="1"/>
  <c r="F52" i="1" s="1"/>
  <c r="G32" i="1"/>
  <c r="G52" i="1" s="1"/>
  <c r="H618" i="1" s="1"/>
  <c r="H32" i="1"/>
  <c r="I32" i="1"/>
  <c r="H617" i="1"/>
  <c r="H51" i="1"/>
  <c r="H52" i="1" s="1"/>
  <c r="H619" i="1" s="1"/>
  <c r="I51" i="1"/>
  <c r="F177" i="1"/>
  <c r="I177" i="1"/>
  <c r="F183" i="1"/>
  <c r="G183" i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F362" i="1"/>
  <c r="G362" i="1"/>
  <c r="H362" i="1"/>
  <c r="I362" i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H408" i="1" s="1"/>
  <c r="H644" i="1" s="1"/>
  <c r="I401" i="1"/>
  <c r="F407" i="1"/>
  <c r="G407" i="1"/>
  <c r="H407" i="1"/>
  <c r="I407" i="1"/>
  <c r="F408" i="1"/>
  <c r="G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639" i="1" s="1"/>
  <c r="G446" i="1"/>
  <c r="H446" i="1"/>
  <c r="G641" i="1" s="1"/>
  <c r="F452" i="1"/>
  <c r="G452" i="1"/>
  <c r="H452" i="1"/>
  <c r="F460" i="1"/>
  <c r="F461" i="1" s="1"/>
  <c r="H639" i="1" s="1"/>
  <c r="G460" i="1"/>
  <c r="H460" i="1"/>
  <c r="H461" i="1" s="1"/>
  <c r="H641" i="1" s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F544" i="1"/>
  <c r="G544" i="1"/>
  <c r="H544" i="1"/>
  <c r="I544" i="1"/>
  <c r="J544" i="1"/>
  <c r="K544" i="1"/>
  <c r="L557" i="1"/>
  <c r="L560" i="1" s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22" i="1"/>
  <c r="G623" i="1"/>
  <c r="G624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40" i="1"/>
  <c r="G643" i="1"/>
  <c r="H643" i="1"/>
  <c r="G644" i="1"/>
  <c r="H645" i="1"/>
  <c r="G650" i="1"/>
  <c r="G651" i="1"/>
  <c r="J651" i="1" s="1"/>
  <c r="G652" i="1"/>
  <c r="H652" i="1"/>
  <c r="G653" i="1"/>
  <c r="H653" i="1"/>
  <c r="G654" i="1"/>
  <c r="H654" i="1"/>
  <c r="H655" i="1"/>
  <c r="J655" i="1" s="1"/>
  <c r="D50" i="2"/>
  <c r="D19" i="13"/>
  <c r="C19" i="13" s="1"/>
  <c r="E78" i="2"/>
  <c r="I169" i="1"/>
  <c r="J140" i="1"/>
  <c r="G22" i="2"/>
  <c r="A13" i="12" l="1"/>
  <c r="F552" i="1"/>
  <c r="K571" i="1"/>
  <c r="F571" i="1"/>
  <c r="K598" i="1"/>
  <c r="G647" i="1" s="1"/>
  <c r="C119" i="2"/>
  <c r="C110" i="2"/>
  <c r="C121" i="2"/>
  <c r="D18" i="13"/>
  <c r="C18" i="13" s="1"/>
  <c r="G545" i="1"/>
  <c r="G476" i="1"/>
  <c r="H623" i="1" s="1"/>
  <c r="H476" i="1"/>
  <c r="H624" i="1" s="1"/>
  <c r="J624" i="1" s="1"/>
  <c r="I52" i="1"/>
  <c r="H620" i="1" s="1"/>
  <c r="C91" i="2"/>
  <c r="F78" i="2"/>
  <c r="F81" i="2" s="1"/>
  <c r="J643" i="1"/>
  <c r="J641" i="1"/>
  <c r="L433" i="1"/>
  <c r="L427" i="1"/>
  <c r="G157" i="2"/>
  <c r="G156" i="2"/>
  <c r="K545" i="1"/>
  <c r="I476" i="1"/>
  <c r="H625" i="1" s="1"/>
  <c r="F476" i="1"/>
  <c r="H622" i="1" s="1"/>
  <c r="J622" i="1" s="1"/>
  <c r="L256" i="1"/>
  <c r="J257" i="1"/>
  <c r="J271" i="1" s="1"/>
  <c r="F257" i="1"/>
  <c r="F271" i="1" s="1"/>
  <c r="G552" i="1"/>
  <c r="H140" i="1"/>
  <c r="G62" i="2"/>
  <c r="F338" i="1"/>
  <c r="F352" i="1" s="1"/>
  <c r="L309" i="1"/>
  <c r="I545" i="1"/>
  <c r="L534" i="1"/>
  <c r="K257" i="1"/>
  <c r="K271" i="1" s="1"/>
  <c r="F192" i="1"/>
  <c r="C29" i="10"/>
  <c r="K605" i="1"/>
  <c r="G648" i="1" s="1"/>
  <c r="L570" i="1"/>
  <c r="I571" i="1"/>
  <c r="J545" i="1"/>
  <c r="J623" i="1"/>
  <c r="J552" i="1"/>
  <c r="C26" i="10"/>
  <c r="J571" i="1"/>
  <c r="G461" i="1"/>
  <c r="H640" i="1" s="1"/>
  <c r="G338" i="1"/>
  <c r="G352" i="1" s="1"/>
  <c r="H552" i="1"/>
  <c r="F130" i="2"/>
  <c r="F144" i="2" s="1"/>
  <c r="F145" i="2" s="1"/>
  <c r="G662" i="1"/>
  <c r="C13" i="10"/>
  <c r="G161" i="2"/>
  <c r="C70" i="2"/>
  <c r="D31" i="2"/>
  <c r="D51" i="2" s="1"/>
  <c r="C18" i="2"/>
  <c r="J476" i="1"/>
  <c r="H626" i="1" s="1"/>
  <c r="J639" i="1"/>
  <c r="J640" i="1"/>
  <c r="E31" i="2"/>
  <c r="G192" i="1"/>
  <c r="D91" i="2"/>
  <c r="D81" i="2"/>
  <c r="D62" i="2"/>
  <c r="D63" i="2" s="1"/>
  <c r="I369" i="1"/>
  <c r="H634" i="1" s="1"/>
  <c r="J634" i="1"/>
  <c r="L362" i="1"/>
  <c r="C27" i="10" s="1"/>
  <c r="G257" i="1"/>
  <c r="G271" i="1" s="1"/>
  <c r="D18" i="2"/>
  <c r="C56" i="2"/>
  <c r="F112" i="1"/>
  <c r="E118" i="2"/>
  <c r="L290" i="1"/>
  <c r="E109" i="2"/>
  <c r="E115" i="2" s="1"/>
  <c r="C10" i="10"/>
  <c r="C21" i="10"/>
  <c r="F662" i="1"/>
  <c r="C124" i="2"/>
  <c r="C18" i="10"/>
  <c r="D12" i="13"/>
  <c r="C12" i="13" s="1"/>
  <c r="L247" i="1"/>
  <c r="L229" i="1"/>
  <c r="C12" i="10"/>
  <c r="C111" i="2"/>
  <c r="C115" i="2" s="1"/>
  <c r="L614" i="1"/>
  <c r="H338" i="1"/>
  <c r="H352" i="1" s="1"/>
  <c r="H257" i="1"/>
  <c r="H271" i="1" s="1"/>
  <c r="F18" i="2"/>
  <c r="K549" i="1"/>
  <c r="G649" i="1"/>
  <c r="J649" i="1" s="1"/>
  <c r="J644" i="1"/>
  <c r="L565" i="1"/>
  <c r="H571" i="1"/>
  <c r="K500" i="1"/>
  <c r="I460" i="1"/>
  <c r="I452" i="1"/>
  <c r="I446" i="1"/>
  <c r="G642" i="1" s="1"/>
  <c r="I257" i="1"/>
  <c r="I271" i="1" s="1"/>
  <c r="C123" i="2"/>
  <c r="E103" i="2"/>
  <c r="C78" i="2"/>
  <c r="I551" i="1"/>
  <c r="L539" i="1"/>
  <c r="H112" i="1"/>
  <c r="H193" i="1" s="1"/>
  <c r="G629" i="1" s="1"/>
  <c r="J629" i="1" s="1"/>
  <c r="E57" i="2"/>
  <c r="E62" i="2" s="1"/>
  <c r="E63" i="2" s="1"/>
  <c r="E130" i="2"/>
  <c r="E144" i="2" s="1"/>
  <c r="F22" i="13"/>
  <c r="C22" i="13" s="1"/>
  <c r="C25" i="10"/>
  <c r="H25" i="13"/>
  <c r="L328" i="1"/>
  <c r="E122" i="2"/>
  <c r="H661" i="1"/>
  <c r="D127" i="2"/>
  <c r="D128" i="2" s="1"/>
  <c r="D145" i="2" s="1"/>
  <c r="D29" i="13"/>
  <c r="C29" i="13" s="1"/>
  <c r="F661" i="1"/>
  <c r="C118" i="2"/>
  <c r="C15" i="10"/>
  <c r="D5" i="13"/>
  <c r="C5" i="13" s="1"/>
  <c r="C16" i="13"/>
  <c r="C122" i="2"/>
  <c r="E13" i="13"/>
  <c r="C13" i="13" s="1"/>
  <c r="C19" i="10"/>
  <c r="C17" i="10"/>
  <c r="C120" i="2"/>
  <c r="E8" i="13"/>
  <c r="C8" i="13" s="1"/>
  <c r="D6" i="13"/>
  <c r="C6" i="13" s="1"/>
  <c r="B164" i="2"/>
  <c r="G164" i="2" s="1"/>
  <c r="K503" i="1"/>
  <c r="L211" i="1"/>
  <c r="C35" i="10"/>
  <c r="D14" i="13"/>
  <c r="C14" i="13" s="1"/>
  <c r="D15" i="13"/>
  <c r="C15" i="13" s="1"/>
  <c r="H647" i="1"/>
  <c r="J647" i="1" s="1"/>
  <c r="G625" i="1"/>
  <c r="J625" i="1" s="1"/>
  <c r="L529" i="1"/>
  <c r="H545" i="1"/>
  <c r="L419" i="1"/>
  <c r="L434" i="1" s="1"/>
  <c r="G638" i="1" s="1"/>
  <c r="J638" i="1" s="1"/>
  <c r="K550" i="1"/>
  <c r="E81" i="2"/>
  <c r="G112" i="1"/>
  <c r="L382" i="1"/>
  <c r="G636" i="1" s="1"/>
  <c r="J636" i="1" s="1"/>
  <c r="K352" i="1"/>
  <c r="G81" i="2"/>
  <c r="G645" i="1"/>
  <c r="J645" i="1" s="1"/>
  <c r="L544" i="1"/>
  <c r="L524" i="1"/>
  <c r="J338" i="1"/>
  <c r="J352" i="1" s="1"/>
  <c r="J617" i="1"/>
  <c r="C62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F50" i="2"/>
  <c r="C24" i="10"/>
  <c r="G31" i="13"/>
  <c r="G33" i="13" s="1"/>
  <c r="I338" i="1"/>
  <c r="I352" i="1" s="1"/>
  <c r="J650" i="1"/>
  <c r="L407" i="1"/>
  <c r="C140" i="2" s="1"/>
  <c r="C141" i="2" s="1"/>
  <c r="C144" i="2" s="1"/>
  <c r="I192" i="1"/>
  <c r="E91" i="2"/>
  <c r="L408" i="1"/>
  <c r="G637" i="1" s="1"/>
  <c r="J637" i="1" s="1"/>
  <c r="J654" i="1"/>
  <c r="J653" i="1"/>
  <c r="G21" i="2"/>
  <c r="G31" i="2" s="1"/>
  <c r="J32" i="1"/>
  <c r="J434" i="1"/>
  <c r="F434" i="1"/>
  <c r="K434" i="1"/>
  <c r="G134" i="2" s="1"/>
  <c r="G144" i="2" s="1"/>
  <c r="G145" i="2" s="1"/>
  <c r="F31" i="13"/>
  <c r="J193" i="1"/>
  <c r="G646" i="1" s="1"/>
  <c r="G169" i="1"/>
  <c r="C39" i="10" s="1"/>
  <c r="G140" i="1"/>
  <c r="F140" i="1"/>
  <c r="G63" i="2"/>
  <c r="J618" i="1"/>
  <c r="G42" i="2"/>
  <c r="G50" i="2" s="1"/>
  <c r="J51" i="1"/>
  <c r="G16" i="2"/>
  <c r="G18" i="2" s="1"/>
  <c r="J19" i="1"/>
  <c r="G621" i="1" s="1"/>
  <c r="F545" i="1"/>
  <c r="H434" i="1"/>
  <c r="J620" i="1"/>
  <c r="J619" i="1"/>
  <c r="D103" i="2"/>
  <c r="I140" i="1"/>
  <c r="A22" i="12"/>
  <c r="J652" i="1"/>
  <c r="G571" i="1"/>
  <c r="I434" i="1"/>
  <c r="G434" i="1"/>
  <c r="I663" i="1"/>
  <c r="H660" i="1" l="1"/>
  <c r="G660" i="1"/>
  <c r="G664" i="1" s="1"/>
  <c r="G672" i="1" s="1"/>
  <c r="C5" i="10" s="1"/>
  <c r="H646" i="1"/>
  <c r="F104" i="2"/>
  <c r="E104" i="2"/>
  <c r="L571" i="1"/>
  <c r="L257" i="1"/>
  <c r="L271" i="1" s="1"/>
  <c r="G632" i="1" s="1"/>
  <c r="J632" i="1" s="1"/>
  <c r="C81" i="2"/>
  <c r="G104" i="2"/>
  <c r="I193" i="1"/>
  <c r="G630" i="1" s="1"/>
  <c r="J630" i="1" s="1"/>
  <c r="F193" i="1"/>
  <c r="G627" i="1" s="1"/>
  <c r="J627" i="1" s="1"/>
  <c r="I662" i="1"/>
  <c r="G635" i="1"/>
  <c r="J635" i="1" s="1"/>
  <c r="H648" i="1"/>
  <c r="J648" i="1" s="1"/>
  <c r="F33" i="13"/>
  <c r="G51" i="2"/>
  <c r="C36" i="10"/>
  <c r="E128" i="2"/>
  <c r="E145" i="2" s="1"/>
  <c r="F51" i="2"/>
  <c r="E51" i="2"/>
  <c r="C104" i="2"/>
  <c r="I461" i="1"/>
  <c r="H642" i="1" s="1"/>
  <c r="J642" i="1" s="1"/>
  <c r="D104" i="2"/>
  <c r="H664" i="1"/>
  <c r="K551" i="1"/>
  <c r="K552" i="1" s="1"/>
  <c r="I552" i="1"/>
  <c r="D31" i="13"/>
  <c r="C31" i="13" s="1"/>
  <c r="C25" i="13"/>
  <c r="H33" i="13"/>
  <c r="C28" i="10"/>
  <c r="D23" i="10" s="1"/>
  <c r="C128" i="2"/>
  <c r="C145" i="2" s="1"/>
  <c r="L338" i="1"/>
  <c r="L352" i="1" s="1"/>
  <c r="G633" i="1" s="1"/>
  <c r="J633" i="1" s="1"/>
  <c r="L545" i="1"/>
  <c r="E33" i="13"/>
  <c r="D35" i="13" s="1"/>
  <c r="I661" i="1"/>
  <c r="F660" i="1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G667" i="1" l="1"/>
  <c r="D13" i="10"/>
  <c r="D27" i="10"/>
  <c r="D26" i="10"/>
  <c r="D16" i="10"/>
  <c r="D18" i="10"/>
  <c r="C30" i="10"/>
  <c r="D10" i="10"/>
  <c r="D11" i="10"/>
  <c r="D17" i="10"/>
  <c r="D20" i="10"/>
  <c r="D15" i="10"/>
  <c r="D25" i="10"/>
  <c r="D19" i="10"/>
  <c r="D21" i="10"/>
  <c r="D12" i="10"/>
  <c r="D22" i="10"/>
  <c r="D24" i="10"/>
  <c r="H667" i="1"/>
  <c r="H672" i="1"/>
  <c r="C6" i="10" s="1"/>
  <c r="F664" i="1"/>
  <c r="I660" i="1"/>
  <c r="I664" i="1" s="1"/>
  <c r="I672" i="1" s="1"/>
  <c r="C7" i="10" s="1"/>
  <c r="H656" i="1"/>
  <c r="C41" i="10"/>
  <c r="D38" i="10" s="1"/>
  <c r="D28" i="10" l="1"/>
  <c r="I667" i="1"/>
  <c r="F672" i="1"/>
  <c r="C4" i="10" s="1"/>
  <c r="F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<sst xmlns="http://schemas.openxmlformats.org/spreadsheetml/2006/main" count="3955" uniqueCount="913">
  <si>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</si>
  <si>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</si>
  <si>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</si>
  <si>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</si>
  <si>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</si>
  <si>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</si>
  <si>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</si>
  <si>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</si>
  <si>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</si>
  <si>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</si>
  <si>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</si>
  <si>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</si>
  <si>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</si>
  <si>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</si>
  <si>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</si>
  <si>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</si>
  <si>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</si>
  <si>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</si>
  <si>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</si>
  <si>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</si>
  <si>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</si>
  <si>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</si>
  <si>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</si>
  <si>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</si>
  <si>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</si>
  <si>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</si>
  <si>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</si>
  <si>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</si>
  <si>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</si>
  <si>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</si>
  <si>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</si>
  <si>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</si>
  <si>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</si>
  <si>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</si>
  <si>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</si>
  <si>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</si>
  <si>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</si>
  <si>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</si>
  <si>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</si>
  <si>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</si>
  <si>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</si>
  <si>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</si>
  <si>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</si>
  <si>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</si>
  <si>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</si>
  <si>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</si>
  <si>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</si>
  <si>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</si>
  <si>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</si>
  <si>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</si>
  <si>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</si>
  <si>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</si>
  <si>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</si>
  <si>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</si>
  <si>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</si>
  <si>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</si>
  <si>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</si>
  <si>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</si>
  <si>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</si>
  <si>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</si>
  <si>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</si>
  <si>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</si>
  <si>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</si>
  <si>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</si>
  <si>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</si>
  <si>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</si>
  <si>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</si>
  <si>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</si>
  <si>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</si>
  <si>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</si>
  <si>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</si>
  <si>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</si>
  <si>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</si>
  <si>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</si>
  <si>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</si>
  <si>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</si>
  <si>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</si>
  <si>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</si>
  <si>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</si>
  <si>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</si>
  <si>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</si>
  <si>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</si>
  <si>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</si>
  <si>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</si>
  <si>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</si>
  <si>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</si>
  <si>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</si>
  <si>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</si>
  <si>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</si>
  <si>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</si>
  <si>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</si>
  <si>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</si>
  <si>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</si>
  <si>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</si>
  <si>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</si>
  <si>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</si>
  <si>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</si>
  <si>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</si>
  <si>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</si>
  <si>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</si>
  <si>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</si>
  <si>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</si>
  <si>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</si>
  <si>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</si>
  <si>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</si>
  <si>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</si>
  <si>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</si>
  <si>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</si>
  <si>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</si>
  <si>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</si>
  <si>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</si>
  <si>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</si>
  <si>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</si>
  <si>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</si>
  <si>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</si>
  <si>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</si>
  <si>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</si>
  <si>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</si>
  <si>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</si>
  <si>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</si>
  <si>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</si>
  <si>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</si>
  <si>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</si>
  <si>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</si>
  <si>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</si>
  <si>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</si>
  <si>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</si>
  <si>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</si>
  <si>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</si>
  <si>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</si>
  <si>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</si>
  <si>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</si>
  <si>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</si>
  <si>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</si>
  <si>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</si>
  <si>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</si>
  <si>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</si>
  <si>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</si>
  <si>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</si>
  <si>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</si>
  <si>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</si>
  <si>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</si>
  <si>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</si>
  <si>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</si>
  <si>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</si>
  <si>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</si>
  <si>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</si>
  <si>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</si>
  <si>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</si>
  <si>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</si>
  <si>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</si>
  <si>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</si>
  <si>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</si>
  <si>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</si>
  <si>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</si>
  <si>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</si>
  <si>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</si>
  <si>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</si>
  <si>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</si>
  <si>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</si>
  <si>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</si>
  <si>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</si>
  <si>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</si>
  <si>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</si>
  <si>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</si>
  <si>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</si>
  <si>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</si>
  <si>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</si>
  <si>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</si>
  <si>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</si>
  <si>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</si>
  <si>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</si>
  <si>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</si>
  <si>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</si>
  <si>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</si>
  <si>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</si>
  <si>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</si>
  <si>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</si>
  <si>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</si>
  <si>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</si>
  <si>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</si>
  <si>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</si>
  <si>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</si>
  <si>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</si>
  <si>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</si>
  <si>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</si>
  <si>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</si>
  <si>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</si>
  <si>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</si>
  <si>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</si>
  <si>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</si>
  <si>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</si>
  <si>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</si>
  <si>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</si>
  <si>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</si>
  <si>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</si>
  <si>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</si>
  <si>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</si>
  <si>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</si>
  <si>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</si>
  <si>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</si>
  <si>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</si>
  <si>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</si>
  <si>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</si>
  <si>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</si>
  <si>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</si>
  <si>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</si>
  <si>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</si>
  <si>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</si>
  <si>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</si>
  <si>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</si>
  <si>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</si>
  <si>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</si>
  <si>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</si>
  <si>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</si>
  <si>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</si>
  <si>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</si>
  <si>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</si>
  <si>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</si>
  <si>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</si>
  <si>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</si>
  <si>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</si>
  <si>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</si>
  <si>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</si>
  <si>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</si>
  <si>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</si>
  <si>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</si>
  <si>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</si>
  <si>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</si>
  <si>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</si>
  <si>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</si>
  <si>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</si>
  <si>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</si>
  <si>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</si>
  <si>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</si>
  <si>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</si>
  <si>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</si>
  <si>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</si>
  <si>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</si>
  <si>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</si>
  <si>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</si>
  <si>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</si>
  <si>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</si>
  <si>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</si>
  <si>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</si>
  <si>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</si>
  <si>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</si>
  <si>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</si>
  <si>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</si>
  <si>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</si>
  <si>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</si>
  <si>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</si>
  <si>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</si>
  <si>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</si>
  <si>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</si>
  <si>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</si>
  <si>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</si>
  <si>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</si>
  <si>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</si>
  <si>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</si>
  <si>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</si>
  <si>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</si>
  <si>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</si>
  <si>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</si>
  <si>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</si>
  <si>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</si>
  <si>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</si>
  <si>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</si>
  <si>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</si>
  <si>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</si>
  <si>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</si>
  <si>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</si>
  <si>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</si>
  <si>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</si>
  <si>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</si>
  <si>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</si>
  <si>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</si>
  <si>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</si>
  <si>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</si>
  <si>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</si>
  <si>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</si>
  <si>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</si>
  <si>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</si>
  <si>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</si>
  <si>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</si>
  <si>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</si>
  <si>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</si>
  <si>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</si>
  <si>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</si>
  <si>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</si>
  <si>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</si>
  <si>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</si>
  <si>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</si>
  <si>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</si>
  <si>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</si>
  <si>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</si>
  <si>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</si>
  <si>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</si>
  <si>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</si>
  <si>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</si>
  <si>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</si>
  <si>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</si>
  <si>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</si>
  <si>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</si>
  <si>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</si>
  <si>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</si>
  <si>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</si>
  <si>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</si>
  <si>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</si>
  <si>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</si>
  <si>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</si>
  <si>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</si>
  <si>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</si>
  <si>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</si>
  <si>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</si>
  <si>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</si>
  <si>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</si>
  <si>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</si>
  <si>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</si>
  <si>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</si>
  <si>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</si>
  <si>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</si>
  <si>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</si>
  <si>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</si>
  <si>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</si>
  <si>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</si>
  <si>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</si>
  <si>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</si>
  <si>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</si>
  <si>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</si>
  <si>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</si>
  <si>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</si>
  <si>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</si>
  <si>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</si>
  <si>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</si>
  <si>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</si>
  <si>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</si>
  <si>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</si>
  <si>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</si>
  <si>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</si>
  <si>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</si>
  <si>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</si>
  <si>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</si>
  <si>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</si>
  <si>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</si>
  <si>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</si>
  <si>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</si>
  <si>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</si>
  <si>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</si>
  <si>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</si>
  <si>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</si>
  <si>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</si>
  <si>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</si>
  <si>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</si>
  <si>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</si>
  <si>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</si>
  <si>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</si>
  <si>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</si>
  <si>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</si>
  <si>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</si>
  <si>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</si>
  <si>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</si>
  <si>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</si>
  <si>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</si>
  <si>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</si>
  <si>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</si>
  <si>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</si>
  <si>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</si>
  <si>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</si>
  <si>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</si>
  <si>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</si>
  <si>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</si>
  <si>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</si>
  <si>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</si>
  <si>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</si>
  <si>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</si>
  <si>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</si>
  <si>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</si>
  <si>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</si>
  <si>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</si>
  <si>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</si>
  <si>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</si>
  <si>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</si>
  <si>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</si>
  <si>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</si>
  <si>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</si>
  <si>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</si>
  <si>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</si>
  <si>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</si>
  <si>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</si>
  <si>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</si>
  <si>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</si>
  <si>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</si>
  <si>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</si>
  <si>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</si>
  <si>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</si>
  <si>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</si>
  <si>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</si>
  <si>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</si>
  <si>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</si>
  <si>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</si>
  <si>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</si>
  <si>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</si>
  <si>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</si>
  <si>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</si>
  <si>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</si>
  <si>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</si>
  <si>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</si>
  <si>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</si>
  <si>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</si>
  <si>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</si>
  <si>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</si>
  <si>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</si>
  <si>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</si>
  <si>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</si>
  <si>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</si>
  <si>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</si>
  <si>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</si>
  <si>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</si>
  <si>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</si>
  <si>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</si>
  <si>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</si>
  <si>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</si>
  <si>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</si>
  <si>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</si>
  <si>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</si>
  <si>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</si>
  <si>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</si>
  <si>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</si>
  <si>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</si>
  <si>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</si>
  <si>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</si>
  <si>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</si>
  <si>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</si>
  <si>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</si>
  <si>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</si>
  <si>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</si>
  <si>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</si>
  <si>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</si>
  <si>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</si>
  <si>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</si>
  <si>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</si>
  <si>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</si>
  <si>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</si>
  <si>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</si>
  <si>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</si>
  <si>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</si>
  <si>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</si>
  <si>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</si>
  <si>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</si>
  <si>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</si>
  <si>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</si>
  <si>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</si>
  <si>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</si>
  <si>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</si>
  <si>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</si>
  <si>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</si>
  <si>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</si>
  <si>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</si>
  <si>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</si>
  <si>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</si>
  <si>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</si>
  <si>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</si>
  <si>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</si>
  <si>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</si>
  <si>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</si>
  <si>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</si>
  <si>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</si>
  <si>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</si>
  <si>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</si>
  <si>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</si>
  <si>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</si>
  <si>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</si>
  <si>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</si>
  <si>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</si>
  <si>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</si>
  <si>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</si>
  <si>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</si>
  <si>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</si>
  <si>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</si>
  <si>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</si>
  <si>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</si>
  <si>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</si>
  <si>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</si>
  <si>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</si>
  <si>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</si>
  <si>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</si>
  <si>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</si>
  <si>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</si>
  <si>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</si>
  <si>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</si>
  <si>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</si>
  <si>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</si>
  <si>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</si>
  <si>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</si>
  <si>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</si>
  <si>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</si>
  <si>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</si>
  <si>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</si>
  <si>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</si>
  <si>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</si>
  <si>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</si>
  <si>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</si>
  <si>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</si>
  <si>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</si>
  <si>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</si>
  <si>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</si>
  <si>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</si>
  <si>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</si>
  <si>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</si>
  <si>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</si>
  <si>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</si>
  <si>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</si>
  <si>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</si>
  <si>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</si>
  <si>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</si>
  <si>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</si>
  <si>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</si>
  <si>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</si>
  <si>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</si>
  <si>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</si>
  <si>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</si>
  <si>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</si>
  <si>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</si>
  <si>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</si>
  <si>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</si>
  <si>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</si>
  <si>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</si>
  <si>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</si>
  <si>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</si>
  <si>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</si>
  <si>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</si>
  <si>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</si>
  <si>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</si>
  <si>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</si>
  <si>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</si>
  <si>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</si>
  <si>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</si>
  <si>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</si>
  <si>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</si>
  <si>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</si>
  <si>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</si>
  <si>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</si>
  <si>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</si>
  <si>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</si>
  <si>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</si>
  <si>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</si>
  <si>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</si>
  <si>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</si>
  <si>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</si>
  <si>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</si>
  <si>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</si>
  <si>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</si>
  <si>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</si>
  <si>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</si>
  <si>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</si>
  <si>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</si>
  <si>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</si>
  <si>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</si>
  <si>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</si>
  <si>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</si>
  <si>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</si>
  <si>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</si>
  <si>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</si>
  <si>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</si>
  <si>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</si>
  <si>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</si>
  <si>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</si>
  <si>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</si>
  <si>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</si>
  <si>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</si>
  <si>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</si>
  <si>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</si>
  <si>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</si>
  <si>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</si>
  <si>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</si>
  <si>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</si>
  <si>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</si>
  <si>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</si>
  <si>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</si>
  <si>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</si>
  <si>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</si>
  <si>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</si>
  <si>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</si>
  <si>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</si>
  <si>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</si>
  <si>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</si>
  <si>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</si>
  <si>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</si>
  <si>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</si>
  <si>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</si>
  <si>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</si>
  <si>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</si>
  <si>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</si>
  <si>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</si>
  <si>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</si>
  <si>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</si>
  <si>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</si>
  <si>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</si>
  <si>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</si>
  <si>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</si>
  <si>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</si>
  <si>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</si>
  <si>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</si>
  <si>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</si>
  <si>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</si>
  <si>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</si>
  <si>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</si>
  <si>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</si>
  <si>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</si>
  <si>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</si>
  <si>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</si>
  <si>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</si>
  <si>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</si>
  <si>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</si>
  <si>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</si>
  <si>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</si>
  <si>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</si>
  <si>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</si>
  <si>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</si>
  <si>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</si>
  <si>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</si>
  <si>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</si>
  <si>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</si>
  <si>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</si>
  <si>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</si>
  <si>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</si>
  <si>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</si>
  <si>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</si>
  <si>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</si>
  <si>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</si>
  <si>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</si>
  <si>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</si>
  <si>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</si>
  <si>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</si>
  <si>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</si>
  <si>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</si>
  <si>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</si>
  <si>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</si>
  <si>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</si>
  <si>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</si>
  <si>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</si>
  <si>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</si>
  <si>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</si>
  <si>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</si>
  <si>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</si>
  <si>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</si>
  <si>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</si>
  <si>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</si>
  <si>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</si>
  <si>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</si>
  <si>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</si>
  <si>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</si>
  <si>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</si>
  <si>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</si>
  <si>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</si>
  <si>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</si>
  <si>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</si>
  <si>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</si>
  <si>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</si>
  <si>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</si>
  <si>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</si>
  <si>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</si>
  <si>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</si>
  <si>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</si>
  <si>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</si>
  <si>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</si>
  <si>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</si>
  <si>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</si>
  <si>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</si>
  <si>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</si>
  <si>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</si>
  <si>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</si>
  <si>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</si>
  <si>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</si>
  <si>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</si>
  <si>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</si>
  <si>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</si>
  <si>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</si>
  <si>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</si>
  <si>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</si>
  <si>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</si>
  <si>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</si>
  <si>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</si>
  <si>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</si>
  <si>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</si>
  <si>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</si>
  <si>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</si>
  <si>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</si>
  <si>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</si>
  <si>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</si>
  <si>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</si>
  <si>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</si>
  <si>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</si>
  <si>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</si>
  <si>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</si>
  <si>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</si>
  <si>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</si>
  <si>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</si>
  <si>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</si>
  <si>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</si>
  <si>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</si>
  <si>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</si>
  <si>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</si>
  <si>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</si>
  <si>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</si>
  <si>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</si>
  <si>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</si>
  <si>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</si>
  <si>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</si>
  <si>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</si>
  <si>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</si>
  <si>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</si>
  <si>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</si>
  <si>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</si>
  <si>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</si>
  <si>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</si>
  <si>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</si>
  <si>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</si>
  <si>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</si>
  <si>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</si>
  <si>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</si>
  <si>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</si>
  <si>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</si>
  <si>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</si>
  <si>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</si>
  <si>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</si>
  <si>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</si>
  <si>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</si>
  <si>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</si>
  <si>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</si>
  <si>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</si>
  <si>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</si>
  <si>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</si>
  <si>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</si>
  <si>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</si>
  <si>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</si>
  <si>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</si>
  <si>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</si>
  <si>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</si>
  <si>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</si>
  <si>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</si>
  <si>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</si>
  <si>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</si>
  <si>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</si>
  <si>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</si>
  <si>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</si>
  <si>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</si>
  <si>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</si>
  <si>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</si>
  <si>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</si>
  <si>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</si>
  <si>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</si>
  <si>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</si>
  <si>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</si>
  <si>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</si>
  <si>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</si>
  <si>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</si>
  <si>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</si>
  <si>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</si>
  <si>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</si>
  <si>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</si>
  <si>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</si>
  <si>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</si>
  <si>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</si>
  <si>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</si>
  <si>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</si>
  <si>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</si>
  <si>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</si>
  <si>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</si>
  <si>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</si>
  <si>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</si>
  <si>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</si>
  <si>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</si>
  <si>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</si>
  <si>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</si>
  <si>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</si>
  <si>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</si>
  <si>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</si>
  <si>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</si>
  <si>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</si>
  <si>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</si>
  <si>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</si>
  <si>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</si>
  <si>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</si>
  <si>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</si>
  <si>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</si>
  <si>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</si>
  <si>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</si>
  <si>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</si>
  <si>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</si>
  <si>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</si>
  <si>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</si>
  <si>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</si>
  <si>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</si>
  <si>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</si>
  <si>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</si>
  <si>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</si>
  <si>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</si>
  <si>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</si>
  <si>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</si>
  <si>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</si>
  <si>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</si>
  <si>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</si>
  <si>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</si>
  <si>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</si>
  <si>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</si>
  <si>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</si>
  <si>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</si>
  <si>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</si>
  <si>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</si>
  <si>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</si>
  <si>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</si>
  <si>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</si>
  <si>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</si>
  <si>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</si>
  <si>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</si>
  <si>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</si>
  <si>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</si>
  <si>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</si>
  <si>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</si>
  <si>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</si>
  <si>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</si>
  <si>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</si>
  <si>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</si>
  <si>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</si>
  <si>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</si>
  <si>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</si>
  <si>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</si>
  <si>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</si>
  <si>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</si>
  <si>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</si>
  <si>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</si>
  <si>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</si>
  <si>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</si>
  <si>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</si>
  <si>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</si>
  <si>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</si>
  <si>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</si>
  <si>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</si>
  <si>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</si>
  <si>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</si>
  <si>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</si>
  <si>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</si>
  <si>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</si>
  <si>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</si>
  <si>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</si>
  <si>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</si>
  <si>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</si>
  <si>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</si>
  <si>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</si>
  <si>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</si>
  <si>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</si>
  <si>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</si>
  <si>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</si>
  <si>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</si>
  <si>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</si>
  <si>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</si>
  <si>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</si>
  <si>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</si>
  <si>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</si>
  <si>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</si>
  <si>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</si>
  <si>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</si>
  <si>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</si>
  <si>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</si>
  <si>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</si>
  <si>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</si>
  <si>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</si>
  <si>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</si>
  <si>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</si>
  <si>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</si>
  <si>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</si>
  <si>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</si>
  <si>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</si>
  <si>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</si>
  <si>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</si>
  <si>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</si>
  <si>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</si>
  <si>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</si>
  <si>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</si>
  <si>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</si>
  <si>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</si>
  <si>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</si>
  <si>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</si>
  <si>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</si>
  <si>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</si>
  <si>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</si>
  <si>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</si>
  <si>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</si>
  <si>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</si>
  <si>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</si>
  <si>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</si>
  <si>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</si>
  <si>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</si>
  <si>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</si>
  <si>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</si>
  <si>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</si>
  <si>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</si>
  <si>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</si>
  <si>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</si>
  <si>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</si>
  <si>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2015-2016 Current Expenditure Per Pupil(in dollars)</t>
  </si>
  <si>
    <t>2015-16-Current Expenditure Per Pupil</t>
  </si>
  <si>
    <t>2015-16-Total Revenues</t>
  </si>
  <si>
    <t>Indirect Cost Rate to be determine at later date for FY2017-2018</t>
  </si>
  <si>
    <t>DOE 25  2015-2016</t>
  </si>
  <si>
    <t>TOTAL FUND EQUITY, JULY 1, 2015</t>
  </si>
  <si>
    <t xml:space="preserve">Total Fund Equity June 30, 2016**** </t>
  </si>
  <si>
    <t>For the Fiscal Year Ending on June 30, 2016</t>
  </si>
  <si>
    <t>For Fiscal Year Ending June 30, 2016</t>
  </si>
  <si>
    <t xml:space="preserve">             2015-2016</t>
  </si>
  <si>
    <t>Shaker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</si>
</sst>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906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486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1464843.74</v>
      </c>
      <c r="G9" s="18"/>
      <c r="H9" s="18"/>
      <c r="I9" s="18"/>
      <c r="J9" s="67">
        <f>SUM(I439)</f>
        <v>0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>
        <v>1522.9</v>
      </c>
      <c r="G10" s="18">
        <v>342053.23</v>
      </c>
      <c r="H10" s="18"/>
      <c r="I10" s="18"/>
      <c r="J10" s="67">
        <f>SUM(I440)</f>
        <v>477383.75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603935.24</v>
      </c>
      <c r="G12" s="18">
        <v>0</v>
      </c>
      <c r="H12" s="18">
        <v>64105.08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17842.36</v>
      </c>
      <c r="G13" s="18">
        <v>19401.12</v>
      </c>
      <c r="H13" s="18">
        <v>315608.2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4160.21</v>
      </c>
      <c r="G14" s="18">
        <v>2488.8000000000002</v>
      </c>
      <c r="H14" s="18">
        <v>4152.92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32761.55</v>
      </c>
      <c r="G17" s="18">
        <v>22.18</v>
      </c>
      <c r="H17" s="18">
        <v>55.34</v>
      </c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2125066</v>
      </c>
      <c r="G19" s="41">
        <f>SUM(G9:G18)</f>
        <v>363965.32999999996</v>
      </c>
      <c r="H19" s="41">
        <f>SUM(H9:H18)</f>
        <v>383921.54000000004</v>
      </c>
      <c r="I19" s="41">
        <f>SUM(I9:I18)</f>
        <v>0</v>
      </c>
      <c r="J19" s="41">
        <f>SUM(J9:J18)</f>
        <v>477383.75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31813.52</v>
      </c>
      <c r="G22" s="18">
        <f>331023.52+239.02</f>
        <v>331262.54000000004</v>
      </c>
      <c r="H22" s="18">
        <v>304964.03000000003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>
        <v>28660.26</v>
      </c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138351.75</v>
      </c>
      <c r="G24" s="18">
        <v>1607.33</v>
      </c>
      <c r="H24" s="18">
        <v>560.28</v>
      </c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23618.83</v>
      </c>
      <c r="G28" s="18"/>
      <c r="H28" s="18">
        <v>5826.88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8401.51</v>
      </c>
      <c r="H30" s="18">
        <v>72570.350000000006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222444.36</v>
      </c>
      <c r="G32" s="41">
        <f>SUM(G22:G31)</f>
        <v>341271.38000000006</v>
      </c>
      <c r="H32" s="41">
        <f>SUM(H22:H31)</f>
        <v>383921.54000000004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>
        <v>22693.95</v>
      </c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192679.21000000002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>
        <v>364762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610540</v>
      </c>
      <c r="G48" s="18"/>
      <c r="H48" s="18"/>
      <c r="I48" s="18"/>
      <c r="J48" s="13">
        <f>SUM(I459)</f>
        <v>477383.75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v>233053.28</v>
      </c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v>501587.15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1902621.6400000001</v>
      </c>
      <c r="G51" s="41">
        <f>SUM(G35:G50)</f>
        <v>22693.95</v>
      </c>
      <c r="H51" s="41">
        <f>SUM(H35:H50)</f>
        <v>0</v>
      </c>
      <c r="I51" s="41">
        <f>SUM(I35:I50)</f>
        <v>0</v>
      </c>
      <c r="J51" s="41">
        <f>SUM(J35:J50)</f>
        <v>477383.75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2125066</v>
      </c>
      <c r="G52" s="41">
        <f>G51+G32</f>
        <v>363965.33000000007</v>
      </c>
      <c r="H52" s="41">
        <f>H51+H32</f>
        <v>383921.54000000004</v>
      </c>
      <c r="I52" s="41">
        <f>I51+I32</f>
        <v>0</v>
      </c>
      <c r="J52" s="41">
        <f>J51+J32</f>
        <v>477383.75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3729611+8871060</f>
        <v>12600671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12600671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11496.96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11496.96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/>
      <c r="G96" s="18">
        <v>21.52</v>
      </c>
      <c r="H96" s="18"/>
      <c r="I96" s="18"/>
      <c r="J96" s="18">
        <v>1467.12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243225.77-329.71</f>
        <v>242896.06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/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17054.64</v>
      </c>
      <c r="G110" s="18">
        <f>5735.16+698.86</f>
        <v>6434.0199999999995</v>
      </c>
      <c r="H110" s="18">
        <f>291174.43</f>
        <v>291174.43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17054.64</v>
      </c>
      <c r="G111" s="41">
        <f>SUM(G96:G110)</f>
        <v>249351.59999999998</v>
      </c>
      <c r="H111" s="41">
        <f>SUM(H96:H110)</f>
        <v>291174.43</v>
      </c>
      <c r="I111" s="41">
        <f>SUM(I96:I110)</f>
        <v>0</v>
      </c>
      <c r="J111" s="41">
        <f>SUM(J96:J110)</f>
        <v>1467.12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12629222.600000001</v>
      </c>
      <c r="G112" s="41">
        <f>G60+G111</f>
        <v>249351.59999999998</v>
      </c>
      <c r="H112" s="41">
        <f>H60+H79+H94+H111</f>
        <v>291174.43</v>
      </c>
      <c r="I112" s="41">
        <f>I60+I111</f>
        <v>0</v>
      </c>
      <c r="J112" s="41">
        <f>J60+J111</f>
        <v>1467.12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4926027.95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1989824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6915851.9500000002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21918.89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/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20018.599999999999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6976.82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>
        <v>6159.41</v>
      </c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41937.49</v>
      </c>
      <c r="G136" s="41">
        <f>SUM(G123:G135)</f>
        <v>13136.23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6957789.4400000004</v>
      </c>
      <c r="G140" s="41">
        <f>G121+SUM(G136:G137)</f>
        <v>13136.23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f>282729.04</f>
        <v>282729.03999999998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320955.21999999997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241302.92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70292.399999999994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113870.45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>
        <v>40026.589999999997</v>
      </c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113870.45</v>
      </c>
      <c r="G162" s="41">
        <f>SUM(G150:G161)</f>
        <v>281329.51</v>
      </c>
      <c r="H162" s="41">
        <f>SUM(H150:H161)</f>
        <v>673976.66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113870.45</v>
      </c>
      <c r="G169" s="41">
        <f>G147+G162+SUM(G163:G168)</f>
        <v>281329.51</v>
      </c>
      <c r="H169" s="41">
        <f>H147+H162+SUM(H163:H168)</f>
        <v>673976.66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30329.71</v>
      </c>
      <c r="H179" s="18"/>
      <c r="I179" s="18"/>
      <c r="J179" s="18"/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30329.71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30329.71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19700882.490000002</v>
      </c>
      <c r="G193" s="47">
        <f>G112+G140+G169+G192</f>
        <v>574147.04999999993</v>
      </c>
      <c r="H193" s="47">
        <f>H112+H140+H169+H192</f>
        <v>965151.09000000008</v>
      </c>
      <c r="I193" s="47">
        <f>I112+I140+I169+I192</f>
        <v>0</v>
      </c>
      <c r="J193" s="47">
        <f>J112+J140+J192</f>
        <v>1467.12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2179260.3199999998</v>
      </c>
      <c r="G197" s="18">
        <v>1016086.29</v>
      </c>
      <c r="H197" s="18">
        <v>2201.2399999999998</v>
      </c>
      <c r="I197" s="18">
        <v>91009.08</v>
      </c>
      <c r="J197" s="18">
        <v>21118.54</v>
      </c>
      <c r="K197" s="18"/>
      <c r="L197" s="19">
        <f>SUM(F197:K197)</f>
        <v>3309675.47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545876.67000000004</v>
      </c>
      <c r="G198" s="18">
        <v>268087.39</v>
      </c>
      <c r="H198" s="18">
        <v>124827.22</v>
      </c>
      <c r="I198" s="18">
        <v>4653.3</v>
      </c>
      <c r="J198" s="18">
        <v>4149.2</v>
      </c>
      <c r="K198" s="18"/>
      <c r="L198" s="19">
        <f>SUM(F198:K198)</f>
        <v>947593.78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56989.96</v>
      </c>
      <c r="G200" s="18">
        <v>11644.68</v>
      </c>
      <c r="H200" s="18">
        <v>3500</v>
      </c>
      <c r="I200" s="18">
        <v>308.22000000000003</v>
      </c>
      <c r="J200" s="18"/>
      <c r="K200" s="18"/>
      <c r="L200" s="19">
        <f>SUM(F200:K200)</f>
        <v>72442.86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477408.96</v>
      </c>
      <c r="G202" s="18">
        <v>223012.42</v>
      </c>
      <c r="H202" s="18">
        <v>67329.58</v>
      </c>
      <c r="I202" s="18">
        <v>7042.69</v>
      </c>
      <c r="J202" s="18">
        <v>933.57</v>
      </c>
      <c r="K202" s="18">
        <v>785.49</v>
      </c>
      <c r="L202" s="19">
        <f t="shared" ref="L202:L208" si="0">SUM(F202:K202)</f>
        <v>776512.70999999985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180084.26</v>
      </c>
      <c r="G203" s="18">
        <v>111060.32</v>
      </c>
      <c r="H203" s="18">
        <v>84589.7</v>
      </c>
      <c r="I203" s="18">
        <v>25507.74</v>
      </c>
      <c r="J203" s="18">
        <v>19379.36</v>
      </c>
      <c r="K203" s="18">
        <v>403.55</v>
      </c>
      <c r="L203" s="19">
        <f t="shared" si="0"/>
        <v>421024.93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80129.56</v>
      </c>
      <c r="G204" s="18">
        <v>21773.33</v>
      </c>
      <c r="H204" s="18">
        <v>50164.76</v>
      </c>
      <c r="I204" s="18">
        <v>2825.54</v>
      </c>
      <c r="J204" s="18">
        <v>131.1</v>
      </c>
      <c r="K204" s="18">
        <v>2846.57</v>
      </c>
      <c r="L204" s="19">
        <f t="shared" si="0"/>
        <v>157870.86000000002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313811.76</v>
      </c>
      <c r="G205" s="18">
        <v>135667.46</v>
      </c>
      <c r="H205" s="18">
        <v>23009.63</v>
      </c>
      <c r="I205" s="18">
        <v>2904.25</v>
      </c>
      <c r="J205" s="18"/>
      <c r="K205" s="18">
        <v>2295</v>
      </c>
      <c r="L205" s="19">
        <f t="shared" si="0"/>
        <v>477688.1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76853.81</v>
      </c>
      <c r="G206" s="18">
        <v>22590.85</v>
      </c>
      <c r="H206" s="18">
        <v>12968.26</v>
      </c>
      <c r="I206" s="18">
        <v>1471.85</v>
      </c>
      <c r="J206" s="18">
        <v>173.71</v>
      </c>
      <c r="K206" s="18">
        <v>707.72</v>
      </c>
      <c r="L206" s="19">
        <f t="shared" si="0"/>
        <v>114766.20000000001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162016.95999999999</v>
      </c>
      <c r="G207" s="18">
        <v>61240.03</v>
      </c>
      <c r="H207" s="18">
        <v>296101.77</v>
      </c>
      <c r="I207" s="18">
        <v>157284.92000000001</v>
      </c>
      <c r="J207" s="18">
        <v>19012.310000000001</v>
      </c>
      <c r="K207" s="18"/>
      <c r="L207" s="19">
        <f t="shared" si="0"/>
        <v>695655.99000000011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329302.90999999997</v>
      </c>
      <c r="I208" s="18"/>
      <c r="J208" s="18"/>
      <c r="K208" s="18"/>
      <c r="L208" s="19">
        <f t="shared" si="0"/>
        <v>329302.90999999997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4072432.2600000002</v>
      </c>
      <c r="G211" s="41">
        <f t="shared" si="1"/>
        <v>1871162.7700000003</v>
      </c>
      <c r="H211" s="41">
        <f t="shared" si="1"/>
        <v>993995.07000000007</v>
      </c>
      <c r="I211" s="41">
        <f t="shared" si="1"/>
        <v>293007.59000000003</v>
      </c>
      <c r="J211" s="41">
        <f t="shared" si="1"/>
        <v>64897.789999999994</v>
      </c>
      <c r="K211" s="41">
        <f t="shared" si="1"/>
        <v>7038.3300000000008</v>
      </c>
      <c r="L211" s="41">
        <f t="shared" si="1"/>
        <v>7302533.8100000005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1821083.66</v>
      </c>
      <c r="G215" s="18">
        <v>853697.17</v>
      </c>
      <c r="H215" s="18">
        <v>729</v>
      </c>
      <c r="I215" s="18">
        <v>40019.42</v>
      </c>
      <c r="J215" s="18">
        <v>7226.82</v>
      </c>
      <c r="K215" s="18"/>
      <c r="L215" s="19">
        <f>SUM(F215:K215)</f>
        <v>2722756.07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398167.44</v>
      </c>
      <c r="G216" s="18">
        <v>196819.54</v>
      </c>
      <c r="H216" s="18">
        <v>38098.35</v>
      </c>
      <c r="I216" s="18">
        <v>2239.4299999999998</v>
      </c>
      <c r="J216" s="18"/>
      <c r="K216" s="18">
        <v>270</v>
      </c>
      <c r="L216" s="19">
        <f>SUM(F216:K216)</f>
        <v>635594.76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64399.51</v>
      </c>
      <c r="G218" s="18">
        <v>13281.93</v>
      </c>
      <c r="H218" s="18">
        <v>10739</v>
      </c>
      <c r="I218" s="18">
        <v>6432.17</v>
      </c>
      <c r="J218" s="18">
        <v>1714.46</v>
      </c>
      <c r="K218" s="18">
        <v>3761</v>
      </c>
      <c r="L218" s="19">
        <f>SUM(F218:K218)</f>
        <v>100328.07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308588.46000000002</v>
      </c>
      <c r="G220" s="18">
        <v>139304.4</v>
      </c>
      <c r="H220" s="18">
        <v>21939.439999999999</v>
      </c>
      <c r="I220" s="18">
        <v>5204.3500000000004</v>
      </c>
      <c r="J220" s="18">
        <v>1094.3</v>
      </c>
      <c r="K220" s="18">
        <v>552.91</v>
      </c>
      <c r="L220" s="19">
        <f t="shared" ref="L220:L226" si="2">SUM(F220:K220)</f>
        <v>476683.85999999993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131931.01</v>
      </c>
      <c r="G221" s="18">
        <v>61419.37</v>
      </c>
      <c r="H221" s="18">
        <v>54666.86</v>
      </c>
      <c r="I221" s="18">
        <v>21395.26</v>
      </c>
      <c r="J221" s="18">
        <v>17104.02</v>
      </c>
      <c r="K221" s="18">
        <v>268.41000000000003</v>
      </c>
      <c r="L221" s="19">
        <f t="shared" si="2"/>
        <v>286784.93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53295.85</v>
      </c>
      <c r="G222" s="18">
        <v>14481.9</v>
      </c>
      <c r="H222" s="18">
        <v>33365.620000000003</v>
      </c>
      <c r="I222" s="18">
        <v>1879.32</v>
      </c>
      <c r="J222" s="18">
        <v>87.19</v>
      </c>
      <c r="K222" s="18">
        <v>1893.32</v>
      </c>
      <c r="L222" s="19">
        <f t="shared" si="2"/>
        <v>105003.20000000001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230169.21</v>
      </c>
      <c r="G223" s="18">
        <v>99502.69</v>
      </c>
      <c r="H223" s="18">
        <v>15410.95</v>
      </c>
      <c r="I223" s="18">
        <v>2071.65</v>
      </c>
      <c r="J223" s="18">
        <v>2391.15</v>
      </c>
      <c r="K223" s="18">
        <v>1685</v>
      </c>
      <c r="L223" s="19">
        <f t="shared" si="2"/>
        <v>351230.65000000008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51117.07</v>
      </c>
      <c r="G224" s="18">
        <v>15025.64</v>
      </c>
      <c r="H224" s="18">
        <v>8625.4500000000007</v>
      </c>
      <c r="I224" s="18">
        <v>978.96</v>
      </c>
      <c r="J224" s="18">
        <v>115.54</v>
      </c>
      <c r="K224" s="18">
        <v>470.72</v>
      </c>
      <c r="L224" s="19">
        <f t="shared" si="2"/>
        <v>76333.37999999999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143335.85999999999</v>
      </c>
      <c r="G225" s="18">
        <v>54165.9</v>
      </c>
      <c r="H225" s="18">
        <v>197370.42</v>
      </c>
      <c r="I225" s="18">
        <v>104613.48</v>
      </c>
      <c r="J225" s="18">
        <v>5994.27</v>
      </c>
      <c r="K225" s="18"/>
      <c r="L225" s="19">
        <f t="shared" si="2"/>
        <v>505479.93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f>204152.36+2699.01</f>
        <v>206851.37</v>
      </c>
      <c r="I226" s="18"/>
      <c r="J226" s="18"/>
      <c r="K226" s="18"/>
      <c r="L226" s="19">
        <f t="shared" si="2"/>
        <v>206851.37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3202088.07</v>
      </c>
      <c r="G229" s="41">
        <f>SUM(G215:G228)</f>
        <v>1447698.5399999996</v>
      </c>
      <c r="H229" s="41">
        <f>SUM(H215:H228)</f>
        <v>587796.46</v>
      </c>
      <c r="I229" s="41">
        <f>SUM(I215:I228)</f>
        <v>184834.03999999998</v>
      </c>
      <c r="J229" s="41">
        <f>SUM(J215:J228)</f>
        <v>35727.75</v>
      </c>
      <c r="K229" s="41">
        <f t="shared" si="3"/>
        <v>8901.3599999999988</v>
      </c>
      <c r="L229" s="41">
        <f t="shared" si="3"/>
        <v>5467046.2199999997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1765211.91</v>
      </c>
      <c r="G233" s="18">
        <v>832645.09</v>
      </c>
      <c r="H233" s="18">
        <v>6532.3</v>
      </c>
      <c r="I233" s="18">
        <v>60401.01</v>
      </c>
      <c r="J233" s="18">
        <v>26952.7</v>
      </c>
      <c r="K233" s="18"/>
      <c r="L233" s="19">
        <f>SUM(F233:K233)</f>
        <v>2691743.01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366229.62</v>
      </c>
      <c r="G234" s="18">
        <v>193338.87</v>
      </c>
      <c r="H234" s="18">
        <v>354314.81</v>
      </c>
      <c r="I234" s="18">
        <v>2762.77</v>
      </c>
      <c r="J234" s="18">
        <v>199</v>
      </c>
      <c r="K234" s="18"/>
      <c r="L234" s="19">
        <f>SUM(F234:K234)</f>
        <v>916845.07000000007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13071.5</v>
      </c>
      <c r="G235" s="18">
        <v>999.99</v>
      </c>
      <c r="H235" s="18">
        <v>185796.65</v>
      </c>
      <c r="I235" s="18">
        <v>270.12</v>
      </c>
      <c r="J235" s="18"/>
      <c r="K235" s="18"/>
      <c r="L235" s="19">
        <f>SUM(F235:K235)</f>
        <v>200138.25999999998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113662.93</v>
      </c>
      <c r="G236" s="18">
        <v>23484.400000000001</v>
      </c>
      <c r="H236" s="18">
        <v>22737</v>
      </c>
      <c r="I236" s="18">
        <v>20327.29</v>
      </c>
      <c r="J236" s="18"/>
      <c r="K236" s="18">
        <v>14201</v>
      </c>
      <c r="L236" s="19">
        <f>SUM(F236:K236)</f>
        <v>194412.62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331008.32</v>
      </c>
      <c r="G238" s="18">
        <v>159296.09</v>
      </c>
      <c r="H238" s="18">
        <v>75669.570000000007</v>
      </c>
      <c r="I238" s="18">
        <v>6111.28</v>
      </c>
      <c r="J238" s="18">
        <v>838.21</v>
      </c>
      <c r="K238" s="18">
        <v>606.6</v>
      </c>
      <c r="L238" s="19">
        <f t="shared" ref="L238:L244" si="4">SUM(F238:K238)</f>
        <v>573530.06999999995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131282.01999999999</v>
      </c>
      <c r="G239" s="18">
        <v>64147.4</v>
      </c>
      <c r="H239" s="18">
        <v>71930.539999999994</v>
      </c>
      <c r="I239" s="18">
        <v>22723.13</v>
      </c>
      <c r="J239" s="18">
        <v>14576.26</v>
      </c>
      <c r="K239" s="18">
        <v>313.04000000000002</v>
      </c>
      <c r="L239" s="19">
        <f t="shared" si="4"/>
        <v>304972.38999999996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62155.66</v>
      </c>
      <c r="G240" s="18">
        <v>16889.34</v>
      </c>
      <c r="H240" s="18">
        <v>38912.300000000003</v>
      </c>
      <c r="I240" s="18">
        <v>2191.73</v>
      </c>
      <c r="J240" s="18">
        <v>101.7</v>
      </c>
      <c r="K240" s="18">
        <v>2208.0500000000002</v>
      </c>
      <c r="L240" s="19">
        <f t="shared" si="4"/>
        <v>122458.78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220709.08</v>
      </c>
      <c r="G241" s="18">
        <v>95403.58</v>
      </c>
      <c r="H241" s="18">
        <v>19208.66</v>
      </c>
      <c r="I241" s="18">
        <v>3475.8</v>
      </c>
      <c r="J241" s="18">
        <v>1406.22</v>
      </c>
      <c r="K241" s="18">
        <v>12602.21</v>
      </c>
      <c r="L241" s="19">
        <f t="shared" si="4"/>
        <v>352805.54999999993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59614.68</v>
      </c>
      <c r="G242" s="18">
        <v>17523.490000000002</v>
      </c>
      <c r="H242" s="18">
        <v>10059.32</v>
      </c>
      <c r="I242" s="18">
        <v>1141.69</v>
      </c>
      <c r="J242" s="18">
        <v>134.75</v>
      </c>
      <c r="K242" s="18">
        <v>548.97</v>
      </c>
      <c r="L242" s="19">
        <f t="shared" si="4"/>
        <v>89022.9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192446.18</v>
      </c>
      <c r="G243" s="18">
        <v>72735.490000000005</v>
      </c>
      <c r="H243" s="18">
        <v>227860.18</v>
      </c>
      <c r="I243" s="18">
        <v>122004.26</v>
      </c>
      <c r="J243" s="18">
        <v>6990.75</v>
      </c>
      <c r="K243" s="18"/>
      <c r="L243" s="19">
        <f t="shared" si="4"/>
        <v>622036.86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408194.88-2699.01</f>
        <v>405495.87</v>
      </c>
      <c r="I244" s="18"/>
      <c r="J244" s="18"/>
      <c r="K244" s="18"/>
      <c r="L244" s="19">
        <f t="shared" si="4"/>
        <v>405495.87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3255391.9000000004</v>
      </c>
      <c r="G247" s="41">
        <f t="shared" si="5"/>
        <v>1476463.74</v>
      </c>
      <c r="H247" s="41">
        <f t="shared" si="5"/>
        <v>1418517.2000000002</v>
      </c>
      <c r="I247" s="41">
        <f t="shared" si="5"/>
        <v>241409.08000000002</v>
      </c>
      <c r="J247" s="41">
        <f t="shared" si="5"/>
        <v>51199.59</v>
      </c>
      <c r="K247" s="41">
        <f t="shared" si="5"/>
        <v>30479.870000000003</v>
      </c>
      <c r="L247" s="41">
        <f t="shared" si="5"/>
        <v>6473461.3800000008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>
        <v>5200.6000000000004</v>
      </c>
      <c r="G253" s="18">
        <v>1015.94</v>
      </c>
      <c r="H253" s="18"/>
      <c r="I253" s="18">
        <v>698</v>
      </c>
      <c r="J253" s="18"/>
      <c r="K253" s="18"/>
      <c r="L253" s="19">
        <f t="shared" si="6"/>
        <v>6914.5400000000009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f>29724.59+62582</f>
        <v>92306.59</v>
      </c>
      <c r="I255" s="18"/>
      <c r="J255" s="18"/>
      <c r="K255" s="18"/>
      <c r="L255" s="19">
        <f t="shared" si="6"/>
        <v>92306.59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5200.6000000000004</v>
      </c>
      <c r="G256" s="41">
        <f t="shared" si="7"/>
        <v>1015.94</v>
      </c>
      <c r="H256" s="41">
        <f t="shared" si="7"/>
        <v>92306.59</v>
      </c>
      <c r="I256" s="41">
        <f t="shared" si="7"/>
        <v>698</v>
      </c>
      <c r="J256" s="41">
        <f t="shared" si="7"/>
        <v>0</v>
      </c>
      <c r="K256" s="41">
        <f t="shared" si="7"/>
        <v>0</v>
      </c>
      <c r="L256" s="41">
        <f>SUM(F256:K256)</f>
        <v>99221.13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10535112.83</v>
      </c>
      <c r="G257" s="41">
        <f t="shared" si="8"/>
        <v>4796340.99</v>
      </c>
      <c r="H257" s="41">
        <f t="shared" si="8"/>
        <v>3092615.3200000003</v>
      </c>
      <c r="I257" s="41">
        <f t="shared" si="8"/>
        <v>719948.71</v>
      </c>
      <c r="J257" s="41">
        <f t="shared" si="8"/>
        <v>151825.13</v>
      </c>
      <c r="K257" s="41">
        <f t="shared" si="8"/>
        <v>46419.56</v>
      </c>
      <c r="L257" s="41">
        <f t="shared" si="8"/>
        <v>19342262.540000003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/>
      <c r="L261" s="19">
        <f>SUM(F261:K261)</f>
        <v>0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f>12426.08+8264.85+9638.78</f>
        <v>30329.71</v>
      </c>
      <c r="L263" s="19">
        <f>SUM(F263:K263)</f>
        <v>30329.71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30329.71</v>
      </c>
      <c r="L270" s="41">
        <f t="shared" si="9"/>
        <v>30329.71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10535112.83</v>
      </c>
      <c r="G271" s="42">
        <f t="shared" si="11"/>
        <v>4796340.99</v>
      </c>
      <c r="H271" s="42">
        <f t="shared" si="11"/>
        <v>3092615.3200000003</v>
      </c>
      <c r="I271" s="42">
        <f t="shared" si="11"/>
        <v>719948.71</v>
      </c>
      <c r="J271" s="42">
        <f t="shared" si="11"/>
        <v>151825.13</v>
      </c>
      <c r="K271" s="42">
        <f t="shared" si="11"/>
        <v>76749.26999999999</v>
      </c>
      <c r="L271" s="42">
        <f t="shared" si="11"/>
        <v>19372592.250000004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93240.49</v>
      </c>
      <c r="G276" s="18">
        <v>29666.47</v>
      </c>
      <c r="H276" s="18"/>
      <c r="I276" s="18">
        <v>1747.86</v>
      </c>
      <c r="J276" s="18"/>
      <c r="K276" s="18"/>
      <c r="L276" s="19">
        <f>SUM(F276:K276)</f>
        <v>124654.82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f>101704</f>
        <v>101704</v>
      </c>
      <c r="G277" s="18">
        <v>52414.82</v>
      </c>
      <c r="H277" s="18">
        <v>2253.7399999999998</v>
      </c>
      <c r="I277" s="18">
        <v>4489.55</v>
      </c>
      <c r="J277" s="18">
        <v>20704.18</v>
      </c>
      <c r="K277" s="18"/>
      <c r="L277" s="19">
        <f>SUM(F277:K277)</f>
        <v>181566.28999999998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>
        <v>7830</v>
      </c>
      <c r="G279" s="18">
        <v>1825.99</v>
      </c>
      <c r="H279" s="18"/>
      <c r="I279" s="18">
        <f>135.6+2091.72</f>
        <v>2227.3199999999997</v>
      </c>
      <c r="J279" s="18">
        <v>765.68</v>
      </c>
      <c r="K279" s="18"/>
      <c r="L279" s="19">
        <f>SUM(F279:K279)</f>
        <v>12648.99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28269.3</v>
      </c>
      <c r="G282" s="18">
        <v>6592.4</v>
      </c>
      <c r="H282" s="18">
        <v>2290.4</v>
      </c>
      <c r="I282" s="18"/>
      <c r="J282" s="18">
        <v>1997.29</v>
      </c>
      <c r="K282" s="18"/>
      <c r="L282" s="19">
        <f t="shared" si="12"/>
        <v>39149.39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7782.3</v>
      </c>
      <c r="I287" s="18"/>
      <c r="J287" s="18"/>
      <c r="K287" s="18"/>
      <c r="L287" s="19">
        <f t="shared" si="12"/>
        <v>7782.3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231043.78999999998</v>
      </c>
      <c r="G290" s="42">
        <f t="shared" si="13"/>
        <v>90499.680000000008</v>
      </c>
      <c r="H290" s="42">
        <f t="shared" si="13"/>
        <v>12326.439999999999</v>
      </c>
      <c r="I290" s="42">
        <f t="shared" si="13"/>
        <v>8464.73</v>
      </c>
      <c r="J290" s="42">
        <f t="shared" si="13"/>
        <v>23467.15</v>
      </c>
      <c r="K290" s="42">
        <f t="shared" si="13"/>
        <v>0</v>
      </c>
      <c r="L290" s="41">
        <f t="shared" si="13"/>
        <v>365801.79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79806.55</v>
      </c>
      <c r="G295" s="18">
        <v>61386.02</v>
      </c>
      <c r="H295" s="18"/>
      <c r="I295" s="18">
        <v>768.99</v>
      </c>
      <c r="J295" s="18"/>
      <c r="K295" s="18"/>
      <c r="L295" s="19">
        <f>SUM(F295:K295)</f>
        <v>141961.56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19068</v>
      </c>
      <c r="G296" s="18">
        <v>5941.93</v>
      </c>
      <c r="H296" s="18">
        <f>1498.46+40.44</f>
        <v>1538.9</v>
      </c>
      <c r="I296" s="18">
        <v>2984.99</v>
      </c>
      <c r="J296" s="18">
        <v>13528.54</v>
      </c>
      <c r="K296" s="18"/>
      <c r="L296" s="19">
        <f>SUM(F296:K296)</f>
        <v>43062.36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>
        <v>10935</v>
      </c>
      <c r="G298" s="18">
        <v>2550.12</v>
      </c>
      <c r="H298" s="18"/>
      <c r="I298" s="18">
        <v>1390.74</v>
      </c>
      <c r="J298" s="18">
        <v>7508.37</v>
      </c>
      <c r="K298" s="18"/>
      <c r="L298" s="19">
        <f>SUM(F298:K298)</f>
        <v>22384.23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18795.599999999999</v>
      </c>
      <c r="G301" s="18">
        <v>4383.13</v>
      </c>
      <c r="H301" s="18">
        <f>627+1522.83</f>
        <v>2149.83</v>
      </c>
      <c r="I301" s="18"/>
      <c r="J301" s="18">
        <v>1327.95</v>
      </c>
      <c r="K301" s="18"/>
      <c r="L301" s="19">
        <f t="shared" si="14"/>
        <v>26656.51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3891.15</v>
      </c>
      <c r="I306" s="18"/>
      <c r="J306" s="18"/>
      <c r="K306" s="18"/>
      <c r="L306" s="19">
        <f t="shared" si="14"/>
        <v>3891.15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128605.15</v>
      </c>
      <c r="G309" s="42">
        <f t="shared" si="15"/>
        <v>74261.2</v>
      </c>
      <c r="H309" s="42">
        <f t="shared" si="15"/>
        <v>7579.88</v>
      </c>
      <c r="I309" s="42">
        <f t="shared" si="15"/>
        <v>5144.7199999999993</v>
      </c>
      <c r="J309" s="42">
        <f t="shared" si="15"/>
        <v>22364.86</v>
      </c>
      <c r="K309" s="42">
        <f t="shared" si="15"/>
        <v>0</v>
      </c>
      <c r="L309" s="41">
        <f t="shared" si="15"/>
        <v>237955.81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>
        <v>4305.26</v>
      </c>
      <c r="J314" s="18">
        <v>20618.5</v>
      </c>
      <c r="K314" s="18"/>
      <c r="L314" s="19">
        <f>SUM(F314:K314)</f>
        <v>24923.760000000002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22253</v>
      </c>
      <c r="G315" s="18">
        <v>6934.41</v>
      </c>
      <c r="H315" s="18">
        <f>1748.75+1782.67</f>
        <v>3531.42</v>
      </c>
      <c r="I315" s="18">
        <v>5483.59</v>
      </c>
      <c r="J315" s="18">
        <v>15788.26</v>
      </c>
      <c r="K315" s="18"/>
      <c r="L315" s="19">
        <f>SUM(F315:K315)</f>
        <v>53990.68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>
        <f>4343.75+7192.5</f>
        <v>11536.25</v>
      </c>
      <c r="G317" s="18">
        <f>332.29+1677.3</f>
        <v>2009.59</v>
      </c>
      <c r="H317" s="18">
        <v>20095.060000000001</v>
      </c>
      <c r="I317" s="18">
        <v>2402.54</v>
      </c>
      <c r="J317" s="18">
        <v>594.12</v>
      </c>
      <c r="K317" s="18">
        <v>65</v>
      </c>
      <c r="L317" s="19">
        <f>SUM(F317:K317)</f>
        <v>36702.560000000005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21935.1</v>
      </c>
      <c r="G320" s="18">
        <v>5115.2700000000004</v>
      </c>
      <c r="H320" s="18">
        <v>1777.2</v>
      </c>
      <c r="I320" s="18"/>
      <c r="J320" s="18">
        <v>1549.76</v>
      </c>
      <c r="K320" s="18"/>
      <c r="L320" s="19">
        <f t="shared" si="16"/>
        <v>30377.329999999998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6228.68</v>
      </c>
      <c r="I325" s="18"/>
      <c r="J325" s="18"/>
      <c r="K325" s="18"/>
      <c r="L325" s="19">
        <f t="shared" si="16"/>
        <v>6228.68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55724.35</v>
      </c>
      <c r="G328" s="42">
        <f t="shared" si="17"/>
        <v>14059.27</v>
      </c>
      <c r="H328" s="42">
        <f t="shared" si="17"/>
        <v>31632.360000000004</v>
      </c>
      <c r="I328" s="42">
        <f t="shared" si="17"/>
        <v>12191.39</v>
      </c>
      <c r="J328" s="42">
        <f t="shared" si="17"/>
        <v>38550.640000000007</v>
      </c>
      <c r="K328" s="42">
        <f t="shared" si="17"/>
        <v>65</v>
      </c>
      <c r="L328" s="41">
        <f t="shared" si="17"/>
        <v>152223.00999999998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>
        <v>209170.48</v>
      </c>
      <c r="I336" s="18"/>
      <c r="J336" s="18"/>
      <c r="K336" s="18"/>
      <c r="L336" s="19">
        <f t="shared" si="18"/>
        <v>209170.48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209170.48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209170.48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415373.28999999992</v>
      </c>
      <c r="G338" s="41">
        <f t="shared" si="20"/>
        <v>178820.15</v>
      </c>
      <c r="H338" s="41">
        <f t="shared" si="20"/>
        <v>260709.16000000003</v>
      </c>
      <c r="I338" s="41">
        <f t="shared" si="20"/>
        <v>25800.839999999997</v>
      </c>
      <c r="J338" s="41">
        <f t="shared" si="20"/>
        <v>84382.650000000009</v>
      </c>
      <c r="K338" s="41">
        <f t="shared" si="20"/>
        <v>65</v>
      </c>
      <c r="L338" s="41">
        <f t="shared" si="20"/>
        <v>965151.09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415373.28999999992</v>
      </c>
      <c r="G352" s="41">
        <f>G338</f>
        <v>178820.15</v>
      </c>
      <c r="H352" s="41">
        <f>H338</f>
        <v>260709.16000000003</v>
      </c>
      <c r="I352" s="41">
        <f>I338</f>
        <v>25800.839999999997</v>
      </c>
      <c r="J352" s="41">
        <f>J338</f>
        <v>84382.650000000009</v>
      </c>
      <c r="K352" s="47">
        <f>K338+K351</f>
        <v>65</v>
      </c>
      <c r="L352" s="41">
        <f>L338+L351</f>
        <v>965151.09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104087.13</v>
      </c>
      <c r="G358" s="18">
        <v>40544.26</v>
      </c>
      <c r="H358" s="18">
        <v>5150.3500000000004</v>
      </c>
      <c r="I358" s="18">
        <v>98652.84</v>
      </c>
      <c r="J358" s="18">
        <v>0</v>
      </c>
      <c r="K358" s="18">
        <v>278.39999999999998</v>
      </c>
      <c r="L358" s="13">
        <f>SUM(F358:K358)</f>
        <v>248712.98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48281.41</v>
      </c>
      <c r="G359" s="18">
        <v>20812.849999999999</v>
      </c>
      <c r="H359" s="18">
        <v>2984.77</v>
      </c>
      <c r="I359" s="18">
        <v>67732.2</v>
      </c>
      <c r="J359" s="18">
        <v>5895.75</v>
      </c>
      <c r="K359" s="18">
        <v>135.44</v>
      </c>
      <c r="L359" s="19">
        <f>SUM(F359:K359)</f>
        <v>145842.42000000001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62642.5</v>
      </c>
      <c r="G360" s="18">
        <v>26385.72</v>
      </c>
      <c r="H360" s="18">
        <v>3470.93</v>
      </c>
      <c r="I360" s="18">
        <v>63915.87</v>
      </c>
      <c r="J360" s="18">
        <v>829.99</v>
      </c>
      <c r="K360" s="18">
        <v>194.16</v>
      </c>
      <c r="L360" s="19">
        <f>SUM(F360:K360)</f>
        <v>157439.16999999998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215011.04</v>
      </c>
      <c r="G362" s="47">
        <f t="shared" si="22"/>
        <v>87742.83</v>
      </c>
      <c r="H362" s="47">
        <f t="shared" si="22"/>
        <v>11606.050000000001</v>
      </c>
      <c r="I362" s="47">
        <f t="shared" si="22"/>
        <v>230300.90999999997</v>
      </c>
      <c r="J362" s="47">
        <f t="shared" si="22"/>
        <v>6725.74</v>
      </c>
      <c r="K362" s="47">
        <f t="shared" si="22"/>
        <v>608</v>
      </c>
      <c r="L362" s="47">
        <f t="shared" si="22"/>
        <v>551994.57000000007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90830.46</v>
      </c>
      <c r="G367" s="18">
        <v>63147.28</v>
      </c>
      <c r="H367" s="18">
        <v>58714.74</v>
      </c>
      <c r="I367" s="56">
        <f>SUM(F367:H367)</f>
        <v>212692.47999999998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7822.38</v>
      </c>
      <c r="G368" s="63">
        <v>4584.92</v>
      </c>
      <c r="H368" s="63">
        <v>5201.13</v>
      </c>
      <c r="I368" s="56">
        <f>SUM(F368:H368)</f>
        <v>17608.43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98652.840000000011</v>
      </c>
      <c r="G369" s="47">
        <f>SUM(G367:G368)</f>
        <v>67732.2</v>
      </c>
      <c r="H369" s="47">
        <f>SUM(H367:H368)</f>
        <v>63915.869999999995</v>
      </c>
      <c r="I369" s="47">
        <f>SUM(I367:I368)</f>
        <v>230300.90999999997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>
        <v>77.239999999999995</v>
      </c>
      <c r="I387" s="18"/>
      <c r="J387" s="24" t="s">
        <v>289</v>
      </c>
      <c r="K387" s="24" t="s">
        <v>289</v>
      </c>
      <c r="L387" s="56">
        <f t="shared" ref="L387:L392" si="25">SUM(F387:K387)</f>
        <v>77.239999999999995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77.239999999999995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77.239999999999995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219.75</v>
      </c>
      <c r="I396" s="18"/>
      <c r="J396" s="24" t="s">
        <v>289</v>
      </c>
      <c r="K396" s="24" t="s">
        <v>289</v>
      </c>
      <c r="L396" s="56">
        <f t="shared" si="26"/>
        <v>219.75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645.34</v>
      </c>
      <c r="I397" s="18"/>
      <c r="J397" s="24" t="s">
        <v>289</v>
      </c>
      <c r="K397" s="24" t="s">
        <v>289</v>
      </c>
      <c r="L397" s="56">
        <f t="shared" si="26"/>
        <v>645.34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>
        <v>197</v>
      </c>
      <c r="I398" s="18"/>
      <c r="J398" s="24" t="s">
        <v>289</v>
      </c>
      <c r="K398" s="24" t="s">
        <v>289</v>
      </c>
      <c r="L398" s="56">
        <f t="shared" si="26"/>
        <v>197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>
        <v>327.79</v>
      </c>
      <c r="I400" s="18"/>
      <c r="J400" s="24" t="s">
        <v>289</v>
      </c>
      <c r="K400" s="24" t="s">
        <v>289</v>
      </c>
      <c r="L400" s="56">
        <f t="shared" si="26"/>
        <v>327.79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1389.88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1389.88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1467.1200000000001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1467.1200000000001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119607.72</v>
      </c>
      <c r="I415" s="18"/>
      <c r="J415" s="18"/>
      <c r="K415" s="18"/>
      <c r="L415" s="56">
        <f t="shared" si="27"/>
        <v>119607.72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119607.72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119607.72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119607.72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119607.72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>
        <v>25120.1</v>
      </c>
      <c r="G440" s="18">
        <v>452263.65</v>
      </c>
      <c r="H440" s="18"/>
      <c r="I440" s="56">
        <f t="shared" si="33"/>
        <v>477383.75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25120.1</v>
      </c>
      <c r="G446" s="13">
        <f>SUM(G439:G445)</f>
        <v>452263.65</v>
      </c>
      <c r="H446" s="13">
        <f>SUM(H439:H445)</f>
        <v>0</v>
      </c>
      <c r="I446" s="13">
        <f>SUM(I439:I445)</f>
        <v>477383.75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>
        <v>25120.1</v>
      </c>
      <c r="G459" s="18">
        <v>452263.65</v>
      </c>
      <c r="H459" s="18"/>
      <c r="I459" s="56">
        <f t="shared" si="34"/>
        <v>477383.75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25120.1</v>
      </c>
      <c r="G460" s="83">
        <f>SUM(G454:G459)</f>
        <v>452263.65</v>
      </c>
      <c r="H460" s="83">
        <f>SUM(H454:H459)</f>
        <v>0</v>
      </c>
      <c r="I460" s="83">
        <f>SUM(I454:I459)</f>
        <v>477383.75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25120.1</v>
      </c>
      <c r="G461" s="42">
        <f>G452+G460</f>
        <v>452263.65</v>
      </c>
      <c r="H461" s="42">
        <f>H452+H460</f>
        <v>0</v>
      </c>
      <c r="I461" s="42">
        <f>I452+I460</f>
        <v>477383.75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907</v>
      </c>
      <c r="B465" s="105">
        <v>19</v>
      </c>
      <c r="C465" s="111">
        <v>1</v>
      </c>
      <c r="D465" s="2" t="s">
        <v>433</v>
      </c>
      <c r="E465" s="111"/>
      <c r="F465" s="18">
        <v>1574331.4</v>
      </c>
      <c r="G465" s="18">
        <v>541.47</v>
      </c>
      <c r="H465" s="18">
        <v>0</v>
      </c>
      <c r="I465" s="18"/>
      <c r="J465" s="18">
        <v>595524.35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19700882.489999998</v>
      </c>
      <c r="G468" s="18">
        <v>574147.05000000005</v>
      </c>
      <c r="H468" s="18">
        <v>965151.09</v>
      </c>
      <c r="I468" s="18"/>
      <c r="J468" s="18">
        <v>1467.12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19700882.489999998</v>
      </c>
      <c r="G470" s="53">
        <f>SUM(G468:G469)</f>
        <v>574147.05000000005</v>
      </c>
      <c r="H470" s="53">
        <f>SUM(H468:H469)</f>
        <v>965151.09</v>
      </c>
      <c r="I470" s="53">
        <f>SUM(I468:I469)</f>
        <v>0</v>
      </c>
      <c r="J470" s="53">
        <f>SUM(J468:J469)</f>
        <v>1467.12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19372592.25</v>
      </c>
      <c r="G472" s="18">
        <v>551994.56999999995</v>
      </c>
      <c r="H472" s="18">
        <v>965151.09</v>
      </c>
      <c r="I472" s="18"/>
      <c r="J472" s="18">
        <v>119607.72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19372592.25</v>
      </c>
      <c r="G474" s="53">
        <f>SUM(G472:G473)</f>
        <v>551994.56999999995</v>
      </c>
      <c r="H474" s="53">
        <f>SUM(H472:H473)</f>
        <v>965151.09</v>
      </c>
      <c r="I474" s="53">
        <f>SUM(I472:I473)</f>
        <v>0</v>
      </c>
      <c r="J474" s="53">
        <f>SUM(J472:J473)</f>
        <v>119607.72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908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1902621.6399999969</v>
      </c>
      <c r="G476" s="53">
        <f>(G465+G470)- G474</f>
        <v>22693.95000000007</v>
      </c>
      <c r="H476" s="53">
        <f>(H465+H470)- H474</f>
        <v>0</v>
      </c>
      <c r="I476" s="53">
        <f>(I465+I470)- I474</f>
        <v>0</v>
      </c>
      <c r="J476" s="53">
        <f>(J465+J470)- J474</f>
        <v>477383.75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909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/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/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/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/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910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534820.37</v>
      </c>
      <c r="G521" s="18">
        <v>281165.86</v>
      </c>
      <c r="H521" s="18">
        <v>126925.28</v>
      </c>
      <c r="I521" s="18">
        <v>27875.03</v>
      </c>
      <c r="J521" s="18">
        <v>4149.2</v>
      </c>
      <c r="K521" s="18"/>
      <c r="L521" s="88">
        <f>SUM(F521:K521)</f>
        <v>974935.74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337502.24</v>
      </c>
      <c r="G522" s="18">
        <v>174786.59</v>
      </c>
      <c r="H522" s="18">
        <v>38981.42</v>
      </c>
      <c r="I522" s="18">
        <v>18494.8</v>
      </c>
      <c r="J522" s="18"/>
      <c r="K522" s="18"/>
      <c r="L522" s="88">
        <f>SUM(F522:K522)</f>
        <v>569765.05000000005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384994.77</v>
      </c>
      <c r="G523" s="18">
        <v>199089.77</v>
      </c>
      <c r="H523" s="18">
        <v>355792.8</v>
      </c>
      <c r="I523" s="18">
        <v>24034.61</v>
      </c>
      <c r="J523" s="18">
        <v>199</v>
      </c>
      <c r="K523" s="18"/>
      <c r="L523" s="88">
        <f>SUM(F523:K523)</f>
        <v>964110.95000000007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1257317.3799999999</v>
      </c>
      <c r="G524" s="108">
        <f t="shared" ref="G524:L524" si="36">SUM(G521:G523)</f>
        <v>655042.22</v>
      </c>
      <c r="H524" s="108">
        <f t="shared" si="36"/>
        <v>521699.5</v>
      </c>
      <c r="I524" s="108">
        <f t="shared" si="36"/>
        <v>70404.44</v>
      </c>
      <c r="J524" s="108">
        <f t="shared" si="36"/>
        <v>4348.2</v>
      </c>
      <c r="K524" s="108">
        <f t="shared" si="36"/>
        <v>0</v>
      </c>
      <c r="L524" s="89">
        <f t="shared" si="36"/>
        <v>2508811.7400000002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129282.24000000001</v>
      </c>
      <c r="G526" s="18">
        <v>57781.99</v>
      </c>
      <c r="H526" s="18">
        <v>20647</v>
      </c>
      <c r="I526" s="18">
        <v>2862.14</v>
      </c>
      <c r="J526" s="18">
        <v>75.790000000000006</v>
      </c>
      <c r="K526" s="18"/>
      <c r="L526" s="88">
        <f>SUM(F526:K526)</f>
        <v>210649.16000000003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85988.31</v>
      </c>
      <c r="G527" s="18">
        <v>38431.980000000003</v>
      </c>
      <c r="H527" s="18">
        <v>11851</v>
      </c>
      <c r="I527" s="18">
        <v>1903.66</v>
      </c>
      <c r="J527" s="18">
        <v>50.41</v>
      </c>
      <c r="K527" s="18"/>
      <c r="L527" s="88">
        <f>SUM(F527:K527)</f>
        <v>138225.36000000002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100282.89</v>
      </c>
      <c r="G528" s="18">
        <v>44820.86</v>
      </c>
      <c r="H528" s="18">
        <v>10537.5</v>
      </c>
      <c r="I528" s="18">
        <v>2220.14</v>
      </c>
      <c r="J528" s="18">
        <v>58.8</v>
      </c>
      <c r="K528" s="18"/>
      <c r="L528" s="88">
        <f>SUM(F528:K528)</f>
        <v>157920.19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315553.44</v>
      </c>
      <c r="G529" s="89">
        <f t="shared" ref="G529:L529" si="37">SUM(G526:G528)</f>
        <v>141034.83000000002</v>
      </c>
      <c r="H529" s="89">
        <f t="shared" si="37"/>
        <v>43035.5</v>
      </c>
      <c r="I529" s="89">
        <f t="shared" si="37"/>
        <v>6985.9400000000005</v>
      </c>
      <c r="J529" s="89">
        <f t="shared" si="37"/>
        <v>185</v>
      </c>
      <c r="K529" s="89">
        <f t="shared" si="37"/>
        <v>0</v>
      </c>
      <c r="L529" s="89">
        <f t="shared" si="37"/>
        <v>506794.71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44702.080000000002</v>
      </c>
      <c r="G531" s="18">
        <v>13353.76</v>
      </c>
      <c r="H531" s="18">
        <v>44110.11</v>
      </c>
      <c r="I531" s="18">
        <v>855.11</v>
      </c>
      <c r="J531" s="18">
        <v>593.83000000000004</v>
      </c>
      <c r="K531" s="18">
        <v>485.49</v>
      </c>
      <c r="L531" s="88">
        <f>SUM(F531:K531)</f>
        <v>104100.38000000002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29732.28</v>
      </c>
      <c r="G532" s="18">
        <v>8881.8700000000008</v>
      </c>
      <c r="H532" s="18">
        <v>7269.92</v>
      </c>
      <c r="I532" s="18">
        <v>568.75</v>
      </c>
      <c r="J532" s="18">
        <v>394.97</v>
      </c>
      <c r="K532" s="18">
        <v>322.91000000000003</v>
      </c>
      <c r="L532" s="88">
        <f>SUM(F532:K532)</f>
        <v>47170.700000000004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34674.94</v>
      </c>
      <c r="G533" s="18">
        <v>10358.370000000001</v>
      </c>
      <c r="H533" s="18">
        <v>60357.34</v>
      </c>
      <c r="I533" s="18">
        <v>663.3</v>
      </c>
      <c r="J533" s="18">
        <v>460.62</v>
      </c>
      <c r="K533" s="18">
        <v>376.6</v>
      </c>
      <c r="L533" s="88">
        <f>SUM(F533:K533)</f>
        <v>106891.17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109109.3</v>
      </c>
      <c r="G534" s="89">
        <f t="shared" ref="G534:L534" si="38">SUM(G531:G533)</f>
        <v>32594</v>
      </c>
      <c r="H534" s="89">
        <f t="shared" si="38"/>
        <v>111737.37</v>
      </c>
      <c r="I534" s="89">
        <f t="shared" si="38"/>
        <v>2087.16</v>
      </c>
      <c r="J534" s="89">
        <f t="shared" si="38"/>
        <v>1449.42</v>
      </c>
      <c r="K534" s="89">
        <f t="shared" si="38"/>
        <v>1185</v>
      </c>
      <c r="L534" s="89">
        <f t="shared" si="38"/>
        <v>258162.25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f>86047.91</f>
        <v>86047.91</v>
      </c>
      <c r="I541" s="18"/>
      <c r="J541" s="18"/>
      <c r="K541" s="18"/>
      <c r="L541" s="88">
        <f>SUM(F541:K541)</f>
        <v>86047.91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27626.55</v>
      </c>
      <c r="I542" s="18"/>
      <c r="J542" s="18"/>
      <c r="K542" s="18"/>
      <c r="L542" s="88">
        <f>SUM(F542:K542)</f>
        <v>27626.55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f>113824.66+431.64</f>
        <v>114256.3</v>
      </c>
      <c r="I543" s="18"/>
      <c r="J543" s="18"/>
      <c r="K543" s="18"/>
      <c r="L543" s="88">
        <f>SUM(F543:K543)</f>
        <v>114256.3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227930.76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227930.76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1681980.1199999999</v>
      </c>
      <c r="G545" s="89">
        <f t="shared" ref="G545:L545" si="41">G524+G529+G534+G539+G544</f>
        <v>828671.05</v>
      </c>
      <c r="H545" s="89">
        <f t="shared" si="41"/>
        <v>904403.13</v>
      </c>
      <c r="I545" s="89">
        <f t="shared" si="41"/>
        <v>79477.540000000008</v>
      </c>
      <c r="J545" s="89">
        <f t="shared" si="41"/>
        <v>5982.62</v>
      </c>
      <c r="K545" s="89">
        <f t="shared" si="41"/>
        <v>1185</v>
      </c>
      <c r="L545" s="89">
        <f t="shared" si="41"/>
        <v>3501699.46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974935.74</v>
      </c>
      <c r="G549" s="87">
        <f>L526</f>
        <v>210649.16000000003</v>
      </c>
      <c r="H549" s="87">
        <f>L531</f>
        <v>104100.38000000002</v>
      </c>
      <c r="I549" s="87">
        <f>L536</f>
        <v>0</v>
      </c>
      <c r="J549" s="87">
        <f>L541</f>
        <v>86047.91</v>
      </c>
      <c r="K549" s="87">
        <f>SUM(F549:J549)</f>
        <v>1375733.19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569765.05000000005</v>
      </c>
      <c r="G550" s="87">
        <f>L527</f>
        <v>138225.36000000002</v>
      </c>
      <c r="H550" s="87">
        <f>L532</f>
        <v>47170.700000000004</v>
      </c>
      <c r="I550" s="87">
        <f>L537</f>
        <v>0</v>
      </c>
      <c r="J550" s="87">
        <f>L542</f>
        <v>27626.55</v>
      </c>
      <c r="K550" s="87">
        <f>SUM(F550:J550)</f>
        <v>782787.66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964110.95000000007</v>
      </c>
      <c r="G551" s="87">
        <f>L528</f>
        <v>157920.19</v>
      </c>
      <c r="H551" s="87">
        <f>L533</f>
        <v>106891.17</v>
      </c>
      <c r="I551" s="87">
        <f>L538</f>
        <v>0</v>
      </c>
      <c r="J551" s="87">
        <f>L543</f>
        <v>114256.3</v>
      </c>
      <c r="K551" s="87">
        <f>SUM(F551:J551)</f>
        <v>1343178.61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2508811.7400000002</v>
      </c>
      <c r="G552" s="89">
        <f t="shared" si="42"/>
        <v>506794.71</v>
      </c>
      <c r="H552" s="89">
        <f t="shared" si="42"/>
        <v>258162.25</v>
      </c>
      <c r="I552" s="89">
        <f t="shared" si="42"/>
        <v>0</v>
      </c>
      <c r="J552" s="89">
        <f t="shared" si="42"/>
        <v>227930.76</v>
      </c>
      <c r="K552" s="89">
        <f t="shared" si="42"/>
        <v>3501699.46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4496.46</v>
      </c>
      <c r="G562" s="18">
        <v>2679.38</v>
      </c>
      <c r="H562" s="18">
        <v>155.68</v>
      </c>
      <c r="I562" s="18"/>
      <c r="J562" s="18"/>
      <c r="K562" s="18"/>
      <c r="L562" s="88">
        <f>SUM(F562:K562)</f>
        <v>7331.52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2990.69</v>
      </c>
      <c r="G563" s="18">
        <v>1861.23</v>
      </c>
      <c r="H563" s="18">
        <v>103.54</v>
      </c>
      <c r="I563" s="18"/>
      <c r="J563" s="18"/>
      <c r="K563" s="18"/>
      <c r="L563" s="88">
        <f>SUM(F563:K563)</f>
        <v>4955.46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3487.85</v>
      </c>
      <c r="G564" s="18">
        <v>1183.53</v>
      </c>
      <c r="H564" s="18">
        <v>120.75</v>
      </c>
      <c r="I564" s="18"/>
      <c r="J564" s="18"/>
      <c r="K564" s="18"/>
      <c r="L564" s="88">
        <f>SUM(F564:K564)</f>
        <v>4792.13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10975</v>
      </c>
      <c r="G565" s="89">
        <f t="shared" si="44"/>
        <v>5724.14</v>
      </c>
      <c r="H565" s="89">
        <f t="shared" si="44"/>
        <v>379.97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17079.11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>
        <v>40203.64</v>
      </c>
      <c r="G567" s="18">
        <v>11660.29</v>
      </c>
      <c r="H567" s="18"/>
      <c r="I567" s="18">
        <v>600.4</v>
      </c>
      <c r="J567" s="18"/>
      <c r="K567" s="18"/>
      <c r="L567" s="88">
        <f>SUM(F567:K567)</f>
        <v>52464.33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>
        <v>26802.36</v>
      </c>
      <c r="G568" s="18">
        <v>7773.52</v>
      </c>
      <c r="H568" s="18">
        <v>511.85</v>
      </c>
      <c r="I568" s="18">
        <v>258.17</v>
      </c>
      <c r="J568" s="18"/>
      <c r="K568" s="18">
        <v>270</v>
      </c>
      <c r="L568" s="88">
        <f>SUM(F568:K568)</f>
        <v>35615.9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67006</v>
      </c>
      <c r="G570" s="193">
        <f t="shared" ref="G570:L570" si="45">SUM(G567:G569)</f>
        <v>19433.810000000001</v>
      </c>
      <c r="H570" s="193">
        <f t="shared" si="45"/>
        <v>511.85</v>
      </c>
      <c r="I570" s="193">
        <f t="shared" si="45"/>
        <v>858.56999999999994</v>
      </c>
      <c r="J570" s="193">
        <f t="shared" si="45"/>
        <v>0</v>
      </c>
      <c r="K570" s="193">
        <f t="shared" si="45"/>
        <v>270</v>
      </c>
      <c r="L570" s="193">
        <f t="shared" si="45"/>
        <v>88080.23000000001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77981</v>
      </c>
      <c r="G571" s="89">
        <f t="shared" ref="G571:L571" si="46">G560+G565+G570</f>
        <v>25157.95</v>
      </c>
      <c r="H571" s="89">
        <f t="shared" si="46"/>
        <v>891.82</v>
      </c>
      <c r="I571" s="89">
        <f t="shared" si="46"/>
        <v>858.56999999999994</v>
      </c>
      <c r="J571" s="89">
        <f t="shared" si="46"/>
        <v>0</v>
      </c>
      <c r="K571" s="89">
        <f t="shared" si="46"/>
        <v>270</v>
      </c>
      <c r="L571" s="89">
        <f t="shared" si="46"/>
        <v>105159.34000000001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1932.67</v>
      </c>
      <c r="I578" s="87">
        <f t="shared" si="47"/>
        <v>1932.67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>
        <v>49306</v>
      </c>
      <c r="G579" s="18">
        <v>37469.160000000003</v>
      </c>
      <c r="H579" s="18">
        <v>44813.012000000002</v>
      </c>
      <c r="I579" s="87">
        <f t="shared" si="47"/>
        <v>131588.17200000002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>
        <v>75152.84</v>
      </c>
      <c r="G582" s="18"/>
      <c r="H582" s="18">
        <v>309145.53999999998</v>
      </c>
      <c r="I582" s="87">
        <f t="shared" si="47"/>
        <v>384298.38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185615.34</v>
      </c>
      <c r="I584" s="87">
        <f t="shared" si="47"/>
        <v>185615.34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237224.98</v>
      </c>
      <c r="I591" s="18">
        <v>157783.28</v>
      </c>
      <c r="J591" s="18">
        <v>184012.93</v>
      </c>
      <c r="K591" s="104">
        <f t="shared" ref="K591:K597" si="48">SUM(H591:J591)</f>
        <v>579021.18999999994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86047.91</v>
      </c>
      <c r="I592" s="18">
        <v>27626.55</v>
      </c>
      <c r="J592" s="18">
        <v>114256.3</v>
      </c>
      <c r="K592" s="104">
        <f t="shared" si="48"/>
        <v>227930.76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53941</v>
      </c>
      <c r="K593" s="104">
        <f t="shared" si="48"/>
        <v>53941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14413.1</v>
      </c>
      <c r="J594" s="18">
        <v>31712.23</v>
      </c>
      <c r="K594" s="104">
        <f t="shared" si="48"/>
        <v>46125.33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6030.02</v>
      </c>
      <c r="I595" s="18">
        <v>4329.4399999999996</v>
      </c>
      <c r="J595" s="18">
        <v>13476.41</v>
      </c>
      <c r="K595" s="104">
        <f t="shared" si="48"/>
        <v>23835.87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>
        <v>2699</v>
      </c>
      <c r="J597" s="18">
        <v>8097</v>
      </c>
      <c r="K597" s="104">
        <f t="shared" si="48"/>
        <v>10796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329302.91000000003</v>
      </c>
      <c r="I598" s="108">
        <f>SUM(I591:I597)</f>
        <v>206851.37</v>
      </c>
      <c r="J598" s="108">
        <f>SUM(J591:J597)</f>
        <v>405495.86999999994</v>
      </c>
      <c r="K598" s="108">
        <f>SUM(K591:K597)</f>
        <v>941650.14999999991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88364.94</v>
      </c>
      <c r="I604" s="18">
        <v>58092.61</v>
      </c>
      <c r="J604" s="18">
        <v>89750.23</v>
      </c>
      <c r="K604" s="104">
        <f>SUM(H604:J604)</f>
        <v>236207.77999999997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88364.94</v>
      </c>
      <c r="I605" s="108">
        <f>SUM(I602:I604)</f>
        <v>58092.61</v>
      </c>
      <c r="J605" s="108">
        <f>SUM(J602:J604)</f>
        <v>89750.23</v>
      </c>
      <c r="K605" s="108">
        <f>SUM(K602:K604)</f>
        <v>236207.77999999997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7830</v>
      </c>
      <c r="G611" s="18">
        <v>1825.99</v>
      </c>
      <c r="H611" s="18"/>
      <c r="I611" s="18"/>
      <c r="J611" s="18"/>
      <c r="K611" s="18"/>
      <c r="L611" s="88">
        <f>SUM(F611:K611)</f>
        <v>9655.99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10935</v>
      </c>
      <c r="G612" s="18">
        <v>2550.12</v>
      </c>
      <c r="H612" s="18"/>
      <c r="I612" s="18"/>
      <c r="J612" s="18"/>
      <c r="K612" s="18"/>
      <c r="L612" s="88">
        <f>SUM(F612:K612)</f>
        <v>13485.119999999999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7192.5</v>
      </c>
      <c r="G613" s="18">
        <v>1677.3</v>
      </c>
      <c r="H613" s="18"/>
      <c r="I613" s="18"/>
      <c r="J613" s="18"/>
      <c r="K613" s="18"/>
      <c r="L613" s="88">
        <f>SUM(F613:K613)</f>
        <v>8869.7999999999993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25957.5</v>
      </c>
      <c r="G614" s="108">
        <f t="shared" si="49"/>
        <v>6053.41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32010.91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2125066</v>
      </c>
      <c r="H617" s="109">
        <f>SUM(F52)</f>
        <v>2125066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363965.32999999996</v>
      </c>
      <c r="H618" s="109">
        <f>SUM(G52)</f>
        <v>363965.33000000007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383921.54000000004</v>
      </c>
      <c r="H619" s="109">
        <f>SUM(H52)</f>
        <v>383921.54000000004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477383.75</v>
      </c>
      <c r="H621" s="109">
        <f>SUM(J52)</f>
        <v>477383.75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1902621.6400000001</v>
      </c>
      <c r="H622" s="109">
        <f>F476</f>
        <v>1902621.6399999969</v>
      </c>
      <c r="I622" s="121" t="s">
        <v>101</v>
      </c>
      <c r="J622" s="109">
        <f t="shared" ref="J622:J655" si="50">G622-H622</f>
        <v>3.2596290111541748E-9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22693.95</v>
      </c>
      <c r="H623" s="109">
        <f>G476</f>
        <v>22693.95000000007</v>
      </c>
      <c r="I623" s="121" t="s">
        <v>102</v>
      </c>
      <c r="J623" s="109">
        <f t="shared" si="50"/>
        <v>-6.9121597334742546E-11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477383.75</v>
      </c>
      <c r="H626" s="109">
        <f>J476</f>
        <v>477383.75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19700882.490000002</v>
      </c>
      <c r="H627" s="104">
        <f>SUM(F468)</f>
        <v>19700882.489999998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574147.04999999993</v>
      </c>
      <c r="H628" s="104">
        <f>SUM(G468)</f>
        <v>574147.05000000005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965151.09000000008</v>
      </c>
      <c r="H629" s="104">
        <f>SUM(H468)</f>
        <v>965151.09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1467.12</v>
      </c>
      <c r="H631" s="104">
        <f>SUM(J468)</f>
        <v>1467.12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19372592.250000004</v>
      </c>
      <c r="H632" s="104">
        <f>SUM(F472)</f>
        <v>19372592.25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965151.09</v>
      </c>
      <c r="H633" s="104">
        <f>SUM(H472)</f>
        <v>965151.09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230300.90999999997</v>
      </c>
      <c r="H634" s="104">
        <f>I369</f>
        <v>230300.90999999997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551994.57000000007</v>
      </c>
      <c r="H635" s="104">
        <f>SUM(G472)</f>
        <v>551994.56999999995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1467.1200000000001</v>
      </c>
      <c r="H637" s="164">
        <f>SUM(J468)</f>
        <v>1467.12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119607.72</v>
      </c>
      <c r="H638" s="164">
        <f>SUM(J472)</f>
        <v>119607.72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25120.1</v>
      </c>
      <c r="H639" s="104">
        <f>SUM(F461)</f>
        <v>25120.1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452263.65</v>
      </c>
      <c r="H640" s="104">
        <f>SUM(G461)</f>
        <v>452263.65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477383.75</v>
      </c>
      <c r="H642" s="104">
        <f>SUM(I461)</f>
        <v>477383.75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1467.12</v>
      </c>
      <c r="H644" s="104">
        <f>H408</f>
        <v>1467.1200000000001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0</v>
      </c>
      <c r="H645" s="104">
        <f>G408</f>
        <v>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1467.12</v>
      </c>
      <c r="H646" s="104">
        <f>L408</f>
        <v>1467.1200000000001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941650.14999999991</v>
      </c>
      <c r="H647" s="104">
        <f>L208+L226+L244</f>
        <v>941650.15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236207.77999999997</v>
      </c>
      <c r="H648" s="104">
        <f>(J257+J338)-(J255+J336)</f>
        <v>236207.78000000003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329302.90999999997</v>
      </c>
      <c r="H649" s="104">
        <f>H598</f>
        <v>329302.91000000003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206851.37</v>
      </c>
      <c r="H650" s="104">
        <f>I598</f>
        <v>206851.37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405495.87</v>
      </c>
      <c r="H651" s="104">
        <f>J598</f>
        <v>405495.86999999994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30329.71</v>
      </c>
      <c r="H652" s="104">
        <f>K263+K345</f>
        <v>30329.71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0</v>
      </c>
      <c r="H655" s="104">
        <f>K266+K347</f>
        <v>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7917048.580000001</v>
      </c>
      <c r="G660" s="19">
        <f>(L229+L309+L359)</f>
        <v>5850844.4499999993</v>
      </c>
      <c r="H660" s="19">
        <f>(L247+L328+L360)</f>
        <v>6783123.5600000005</v>
      </c>
      <c r="I660" s="19">
        <f>SUM(F660:H660)</f>
        <v>20551016.590000004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112341.00944224576</v>
      </c>
      <c r="G661" s="19">
        <f>(L359/IF(SUM(L358:L360)=0,1,SUM(L358:L360))*(SUM(G97:G110)))</f>
        <v>65875.470923552013</v>
      </c>
      <c r="H661" s="19">
        <f>(L360/IF(SUM(L358:L360)=0,1,SUM(L358:L360))*(SUM(G97:G110)))</f>
        <v>71113.599634202183</v>
      </c>
      <c r="I661" s="19">
        <f>SUM(F661:H661)</f>
        <v>249330.07999999996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337085.20999999996</v>
      </c>
      <c r="G662" s="19">
        <f>(L226+L306)-(J226+J306)</f>
        <v>210742.52</v>
      </c>
      <c r="H662" s="19">
        <f>(L244+L325)-(J244+J325)</f>
        <v>411724.55</v>
      </c>
      <c r="I662" s="19">
        <f>SUM(F662:H662)</f>
        <v>959552.28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222479.77</v>
      </c>
      <c r="G663" s="199">
        <f>SUM(G575:G587)+SUM(I602:I604)+L612</f>
        <v>109046.89</v>
      </c>
      <c r="H663" s="199">
        <f>SUM(H575:H587)+SUM(J602:J604)+L613</f>
        <v>640126.59199999995</v>
      </c>
      <c r="I663" s="19">
        <f>SUM(F663:H663)</f>
        <v>971653.25199999986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7245142.590557755</v>
      </c>
      <c r="G664" s="19">
        <f>G660-SUM(G661:G663)</f>
        <v>5465179.5690764468</v>
      </c>
      <c r="H664" s="19">
        <f>H660-SUM(H661:H663)</f>
        <v>5660158.8183657983</v>
      </c>
      <c r="I664" s="19">
        <f>I660-SUM(I661:I663)</f>
        <v>18370480.978000004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544.42999999999995</v>
      </c>
      <c r="G665" s="248">
        <v>362.03</v>
      </c>
      <c r="H665" s="248">
        <v>422.29</v>
      </c>
      <c r="I665" s="19">
        <f>SUM(F665:H665)</f>
        <v>1328.75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13307.76</v>
      </c>
      <c r="G667" s="19">
        <f>ROUND(G664/G665,2)</f>
        <v>15095.93</v>
      </c>
      <c r="H667" s="19">
        <f>ROUND(H664/H665,2)</f>
        <v>13403.49</v>
      </c>
      <c r="I667" s="19">
        <f>ROUND(I664/I665,2)</f>
        <v>13825.39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-12.78</v>
      </c>
      <c r="I670" s="19">
        <f>SUM(F670:H670)</f>
        <v>-12.78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13307.76</v>
      </c>
      <c r="G672" s="19">
        <f>ROUND((G664+G669)/(G665+G670),2)</f>
        <v>15095.93</v>
      </c>
      <c r="H672" s="19">
        <f>ROUND((H664+H669)/(H665+H670),2)</f>
        <v>13821.78</v>
      </c>
      <c r="I672" s="19">
        <f>ROUND((I664+I669)/(I665+I670),2)</f>
        <v>13959.65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F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2015-2016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E27" sqref="E2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Shaker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8" t="s">
        <v>784</v>
      </c>
      <c r="B3" s="278"/>
      <c r="C3" s="278"/>
    </row>
    <row r="4" spans="1:3" x14ac:dyDescent="0.2">
      <c r="A4" s="236"/>
      <c r="B4" s="237" t="str">
        <f>'DOE25'!H1</f>
        <v>DOE 25  2015-2016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783</v>
      </c>
      <c r="C6" s="277"/>
    </row>
    <row r="7" spans="1:3" x14ac:dyDescent="0.2">
      <c r="A7" s="239" t="s">
        <v>786</v>
      </c>
      <c r="B7" s="275" t="s">
        <v>782</v>
      </c>
      <c r="C7" s="276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5938602.9299999997</v>
      </c>
      <c r="C9" s="229">
        <f>'DOE25'!G197+'DOE25'!G215+'DOE25'!G233+'DOE25'!G276+'DOE25'!G295+'DOE25'!G314</f>
        <v>2793481.04</v>
      </c>
    </row>
    <row r="10" spans="1:3" x14ac:dyDescent="0.2">
      <c r="A10" t="s">
        <v>779</v>
      </c>
      <c r="B10" s="240">
        <f>5346438.14+100346</f>
        <v>5446784.1399999997</v>
      </c>
      <c r="C10" s="240">
        <f>2484168.63+53805.1</f>
        <v>2537973.73</v>
      </c>
    </row>
    <row r="11" spans="1:3" x14ac:dyDescent="0.2">
      <c r="A11" t="s">
        <v>780</v>
      </c>
      <c r="B11" s="240">
        <f>72701.04+306755.19</f>
        <v>379456.23</v>
      </c>
      <c r="C11" s="240">
        <f>208297.22+37247.41</f>
        <v>245544.63</v>
      </c>
    </row>
    <row r="12" spans="1:3" x14ac:dyDescent="0.2">
      <c r="A12" t="s">
        <v>781</v>
      </c>
      <c r="B12" s="240">
        <v>112362.56</v>
      </c>
      <c r="C12" s="240">
        <v>9962.68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5938602.9299999988</v>
      </c>
      <c r="C13" s="231">
        <f>SUM(C10:C12)</f>
        <v>2793481.04</v>
      </c>
    </row>
    <row r="14" spans="1:3" x14ac:dyDescent="0.2">
      <c r="B14" s="230"/>
      <c r="C14" s="230"/>
    </row>
    <row r="15" spans="1:3" x14ac:dyDescent="0.2">
      <c r="B15" s="277" t="s">
        <v>783</v>
      </c>
      <c r="C15" s="277"/>
    </row>
    <row r="16" spans="1:3" x14ac:dyDescent="0.2">
      <c r="A16" s="239" t="s">
        <v>787</v>
      </c>
      <c r="B16" s="275" t="s">
        <v>707</v>
      </c>
      <c r="C16" s="276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1453298.73</v>
      </c>
      <c r="C18" s="229">
        <f>'DOE25'!G198+'DOE25'!G216+'DOE25'!G234+'DOE25'!G277+'DOE25'!G296+'DOE25'!G315</f>
        <v>723536.96000000008</v>
      </c>
    </row>
    <row r="19" spans="1:3" x14ac:dyDescent="0.2">
      <c r="A19" t="s">
        <v>779</v>
      </c>
      <c r="B19" s="240">
        <f>952354.01+143025</f>
        <v>1095379.01</v>
      </c>
      <c r="C19" s="240">
        <f>462552.27+65291.16</f>
        <v>527843.43000000005</v>
      </c>
    </row>
    <row r="20" spans="1:3" x14ac:dyDescent="0.2">
      <c r="A20" t="s">
        <v>780</v>
      </c>
      <c r="B20" s="240">
        <v>357919.72</v>
      </c>
      <c r="C20" s="240">
        <v>195693.53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1453298.73</v>
      </c>
      <c r="C22" s="231">
        <f>SUM(C19:C21)</f>
        <v>723536.96000000008</v>
      </c>
    </row>
    <row r="23" spans="1:3" x14ac:dyDescent="0.2">
      <c r="B23" s="230"/>
      <c r="C23" s="230"/>
    </row>
    <row r="24" spans="1:3" x14ac:dyDescent="0.2">
      <c r="B24" s="277" t="s">
        <v>783</v>
      </c>
      <c r="C24" s="277"/>
    </row>
    <row r="25" spans="1:3" x14ac:dyDescent="0.2">
      <c r="A25" s="239" t="s">
        <v>788</v>
      </c>
      <c r="B25" s="275" t="s">
        <v>708</v>
      </c>
      <c r="C25" s="276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13071.5</v>
      </c>
      <c r="C27" s="234">
        <f>'DOE25'!G199+'DOE25'!G217+'DOE25'!G235+'DOE25'!G278+'DOE25'!G297+'DOE25'!G316</f>
        <v>999.99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>
        <v>13071.5</v>
      </c>
      <c r="C29" s="240">
        <v>999.99</v>
      </c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13071.5</v>
      </c>
      <c r="C31" s="231">
        <f>SUM(C28:C30)</f>
        <v>999.99</v>
      </c>
    </row>
    <row r="33" spans="1:3" x14ac:dyDescent="0.2">
      <c r="B33" s="277" t="s">
        <v>783</v>
      </c>
      <c r="C33" s="277"/>
    </row>
    <row r="34" spans="1:3" x14ac:dyDescent="0.2">
      <c r="A34" s="239" t="s">
        <v>789</v>
      </c>
      <c r="B34" s="275" t="s">
        <v>709</v>
      </c>
      <c r="C34" s="276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265353.65000000002</v>
      </c>
      <c r="C36" s="235">
        <f>'DOE25'!G200+'DOE25'!G218+'DOE25'!G236+'DOE25'!G279+'DOE25'!G298+'DOE25'!G317</f>
        <v>54796.71</v>
      </c>
    </row>
    <row r="37" spans="1:3" x14ac:dyDescent="0.2">
      <c r="A37" t="s">
        <v>779</v>
      </c>
      <c r="B37" s="240">
        <f>111784.63+24877.5</f>
        <v>136662.13</v>
      </c>
      <c r="C37" s="240">
        <f>31206.48+5968.44</f>
        <v>37174.92</v>
      </c>
    </row>
    <row r="38" spans="1:3" x14ac:dyDescent="0.2">
      <c r="A38" t="s">
        <v>780</v>
      </c>
      <c r="B38" s="240">
        <f>3366.66+5423.75</f>
        <v>8790.41</v>
      </c>
      <c r="C38" s="240">
        <f>179.76+417.26</f>
        <v>597.02</v>
      </c>
    </row>
    <row r="39" spans="1:3" x14ac:dyDescent="0.2">
      <c r="A39" t="s">
        <v>781</v>
      </c>
      <c r="B39" s="240">
        <v>119901.11</v>
      </c>
      <c r="C39" s="240">
        <v>17024.77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265353.65000000002</v>
      </c>
      <c r="C40" s="231">
        <f>SUM(C37:C39)</f>
        <v>54796.709999999992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B38" sqref="B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790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717</v>
      </c>
      <c r="B2" s="265" t="str">
        <f>'DOE25'!A2</f>
        <v>Shaker Regional School District</v>
      </c>
      <c r="C2" s="181"/>
      <c r="D2" s="181" t="s">
        <v>792</v>
      </c>
      <c r="E2" s="181" t="s">
        <v>794</v>
      </c>
      <c r="F2" s="279" t="s">
        <v>821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11791529.969999999</v>
      </c>
      <c r="D5" s="20">
        <f>SUM('DOE25'!L197:L200)+SUM('DOE25'!L215:L218)+SUM('DOE25'!L233:L236)-F5-G5</f>
        <v>11711937.249999998</v>
      </c>
      <c r="E5" s="243"/>
      <c r="F5" s="255">
        <f>SUM('DOE25'!J197:J200)+SUM('DOE25'!J215:J218)+SUM('DOE25'!J233:J236)</f>
        <v>61360.72</v>
      </c>
      <c r="G5" s="53">
        <f>SUM('DOE25'!K197:K200)+SUM('DOE25'!K215:K218)+SUM('DOE25'!K233:K236)</f>
        <v>18232</v>
      </c>
      <c r="H5" s="259"/>
    </row>
    <row r="6" spans="1:9" x14ac:dyDescent="0.2">
      <c r="A6" s="32">
        <v>2100</v>
      </c>
      <c r="B6" t="s">
        <v>801</v>
      </c>
      <c r="C6" s="245">
        <f t="shared" si="0"/>
        <v>1826726.6399999997</v>
      </c>
      <c r="D6" s="20">
        <f>'DOE25'!L202+'DOE25'!L220+'DOE25'!L238-F6-G6</f>
        <v>1821915.5599999996</v>
      </c>
      <c r="E6" s="243"/>
      <c r="F6" s="255">
        <f>'DOE25'!J202+'DOE25'!J220+'DOE25'!J238</f>
        <v>2866.08</v>
      </c>
      <c r="G6" s="53">
        <f>'DOE25'!K202+'DOE25'!K220+'DOE25'!K238</f>
        <v>1945</v>
      </c>
      <c r="H6" s="259"/>
    </row>
    <row r="7" spans="1:9" x14ac:dyDescent="0.2">
      <c r="A7" s="32">
        <v>2200</v>
      </c>
      <c r="B7" t="s">
        <v>834</v>
      </c>
      <c r="C7" s="245">
        <f t="shared" si="0"/>
        <v>1012782.25</v>
      </c>
      <c r="D7" s="20">
        <f>'DOE25'!L203+'DOE25'!L221+'DOE25'!L239-F7-G7</f>
        <v>960737.61</v>
      </c>
      <c r="E7" s="243"/>
      <c r="F7" s="255">
        <f>'DOE25'!J203+'DOE25'!J221+'DOE25'!J239</f>
        <v>51059.640000000007</v>
      </c>
      <c r="G7" s="53">
        <f>'DOE25'!K203+'DOE25'!K221+'DOE25'!K239</f>
        <v>985</v>
      </c>
      <c r="H7" s="259"/>
    </row>
    <row r="8" spans="1:9" x14ac:dyDescent="0.2">
      <c r="A8" s="32">
        <v>2300</v>
      </c>
      <c r="B8" t="s">
        <v>802</v>
      </c>
      <c r="C8" s="245">
        <f t="shared" si="0"/>
        <v>113810.24000000012</v>
      </c>
      <c r="D8" s="243"/>
      <c r="E8" s="20">
        <f>'DOE25'!L204+'DOE25'!L222+'DOE25'!L240-F8-G8-D9-D11</f>
        <v>106542.31000000011</v>
      </c>
      <c r="F8" s="255">
        <f>'DOE25'!J204+'DOE25'!J222+'DOE25'!J240</f>
        <v>319.99</v>
      </c>
      <c r="G8" s="53">
        <f>'DOE25'!K204+'DOE25'!K222+'DOE25'!K240</f>
        <v>6947.9400000000005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31648.54</v>
      </c>
      <c r="D9" s="244">
        <v>31648.54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12011.75</v>
      </c>
      <c r="D10" s="243"/>
      <c r="E10" s="244">
        <v>12011.75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239874.06</v>
      </c>
      <c r="D11" s="244">
        <v>239874.06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1181724.2999999998</v>
      </c>
      <c r="D12" s="20">
        <f>'DOE25'!L205+'DOE25'!L223+'DOE25'!L241-F12-G12</f>
        <v>1161344.7199999997</v>
      </c>
      <c r="E12" s="243"/>
      <c r="F12" s="255">
        <f>'DOE25'!J205+'DOE25'!J223+'DOE25'!J241</f>
        <v>3797.37</v>
      </c>
      <c r="G12" s="53">
        <f>'DOE25'!K205+'DOE25'!K223+'DOE25'!K241</f>
        <v>16582.21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280122.48</v>
      </c>
      <c r="D13" s="243"/>
      <c r="E13" s="20">
        <f>'DOE25'!L206+'DOE25'!L224+'DOE25'!L242-F13-G13</f>
        <v>277971.07</v>
      </c>
      <c r="F13" s="255">
        <f>'DOE25'!J206+'DOE25'!J224+'DOE25'!J242</f>
        <v>424</v>
      </c>
      <c r="G13" s="53">
        <f>'DOE25'!K206+'DOE25'!K224+'DOE25'!K242</f>
        <v>1727.41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1823172.7800000003</v>
      </c>
      <c r="D14" s="20">
        <f>'DOE25'!L207+'DOE25'!L225+'DOE25'!L243-F14-G14</f>
        <v>1791175.4500000002</v>
      </c>
      <c r="E14" s="243"/>
      <c r="F14" s="255">
        <f>'DOE25'!J207+'DOE25'!J225+'DOE25'!J243</f>
        <v>31997.33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941650.15</v>
      </c>
      <c r="D15" s="20">
        <f>'DOE25'!L208+'DOE25'!L226+'DOE25'!L244-F15-G15</f>
        <v>941650.15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6914.5400000000009</v>
      </c>
      <c r="D19" s="20">
        <f>'DOE25'!L253-F19-G19</f>
        <v>6914.5400000000009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301477.07</v>
      </c>
      <c r="D22" s="243"/>
      <c r="E22" s="243"/>
      <c r="F22" s="255">
        <f>'DOE25'!L255+'DOE25'!L336</f>
        <v>301477.07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339302.09000000008</v>
      </c>
      <c r="D29" s="20">
        <f>'DOE25'!L358+'DOE25'!L359+'DOE25'!L360-'DOE25'!I367-F29-G29</f>
        <v>331968.35000000009</v>
      </c>
      <c r="E29" s="243"/>
      <c r="F29" s="255">
        <f>'DOE25'!J358+'DOE25'!J359+'DOE25'!J360</f>
        <v>6725.74</v>
      </c>
      <c r="G29" s="53">
        <f>'DOE25'!K358+'DOE25'!K359+'DOE25'!K360</f>
        <v>608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755980.61</v>
      </c>
      <c r="D31" s="20">
        <f>'DOE25'!L290+'DOE25'!L309+'DOE25'!L328+'DOE25'!L333+'DOE25'!L334+'DOE25'!L335-F31-G31</f>
        <v>671532.96</v>
      </c>
      <c r="E31" s="243"/>
      <c r="F31" s="255">
        <f>'DOE25'!J290+'DOE25'!J309+'DOE25'!J328+'DOE25'!J333+'DOE25'!J334+'DOE25'!J335</f>
        <v>84382.650000000009</v>
      </c>
      <c r="G31" s="53">
        <f>'DOE25'!K290+'DOE25'!K309+'DOE25'!K328+'DOE25'!K333+'DOE25'!K334+'DOE25'!K335</f>
        <v>65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19670699.189999998</v>
      </c>
      <c r="E33" s="246">
        <f>SUM(E5:E31)</f>
        <v>396525.13000000012</v>
      </c>
      <c r="F33" s="246">
        <f>SUM(F5:F31)</f>
        <v>544410.59</v>
      </c>
      <c r="G33" s="246">
        <f>SUM(G5:G31)</f>
        <v>47092.560000000005</v>
      </c>
      <c r="H33" s="246">
        <f>SUM(H5:H31)</f>
        <v>0</v>
      </c>
    </row>
    <row r="35" spans="2:8" ht="12" thickBot="1" x14ac:dyDescent="0.25">
      <c r="B35" s="253" t="s">
        <v>847</v>
      </c>
      <c r="D35" s="254">
        <f>E33</f>
        <v>396525.13000000012</v>
      </c>
      <c r="E35" s="249"/>
    </row>
    <row r="36" spans="2:8" ht="12" thickTop="1" x14ac:dyDescent="0.2">
      <c r="B36" t="s">
        <v>815</v>
      </c>
      <c r="D36" s="20">
        <f>D33</f>
        <v>19670699.189999998</v>
      </c>
    </row>
    <row r="38" spans="2:8" x14ac:dyDescent="0.2">
      <c r="B38" s="187" t="s">
        <v>905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Shaker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1464843.74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1522.9</v>
      </c>
      <c r="D9" s="95">
        <f>'DOE25'!G10</f>
        <v>342053.23</v>
      </c>
      <c r="E9" s="95">
        <f>'DOE25'!H10</f>
        <v>0</v>
      </c>
      <c r="F9" s="95">
        <f>'DOE25'!I10</f>
        <v>0</v>
      </c>
      <c r="G9" s="95">
        <f>'DOE25'!J10</f>
        <v>477383.75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603935.24</v>
      </c>
      <c r="D11" s="95">
        <f>'DOE25'!G12</f>
        <v>0</v>
      </c>
      <c r="E11" s="95">
        <f>'DOE25'!H12</f>
        <v>64105.08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17842.36</v>
      </c>
      <c r="D12" s="95">
        <f>'DOE25'!G13</f>
        <v>19401.12</v>
      </c>
      <c r="E12" s="95">
        <f>'DOE25'!H13</f>
        <v>315608.2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4160.21</v>
      </c>
      <c r="D13" s="95">
        <f>'DOE25'!G14</f>
        <v>2488.8000000000002</v>
      </c>
      <c r="E13" s="95">
        <f>'DOE25'!H14</f>
        <v>4152.92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32761.55</v>
      </c>
      <c r="D16" s="95">
        <f>'DOE25'!G17</f>
        <v>22.18</v>
      </c>
      <c r="E16" s="95">
        <f>'DOE25'!H17</f>
        <v>55.34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2125066</v>
      </c>
      <c r="D18" s="41">
        <f>SUM(D8:D17)</f>
        <v>363965.32999999996</v>
      </c>
      <c r="E18" s="41">
        <f>SUM(E8:E17)</f>
        <v>383921.54000000004</v>
      </c>
      <c r="F18" s="41">
        <f>SUM(F8:F17)</f>
        <v>0</v>
      </c>
      <c r="G18" s="41">
        <f>SUM(G8:G17)</f>
        <v>477383.75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31813.52</v>
      </c>
      <c r="D21" s="95">
        <f>'DOE25'!G22</f>
        <v>331262.54000000004</v>
      </c>
      <c r="E21" s="95">
        <f>'DOE25'!H22</f>
        <v>304964.03000000003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28660.26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138351.75</v>
      </c>
      <c r="D23" s="95">
        <f>'DOE25'!G24</f>
        <v>1607.33</v>
      </c>
      <c r="E23" s="95">
        <f>'DOE25'!H24</f>
        <v>560.28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23618.83</v>
      </c>
      <c r="D27" s="95">
        <f>'DOE25'!G28</f>
        <v>0</v>
      </c>
      <c r="E27" s="95">
        <f>'DOE25'!H28</f>
        <v>5826.88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8401.51</v>
      </c>
      <c r="E29" s="95">
        <f>'DOE25'!H30</f>
        <v>72570.350000000006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222444.36</v>
      </c>
      <c r="D31" s="41">
        <f>SUM(D21:D30)</f>
        <v>341271.38000000006</v>
      </c>
      <c r="E31" s="41">
        <f>SUM(E21:E30)</f>
        <v>383921.54000000004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22693.95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192679.21000000002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364762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610540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477383.75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233053.28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501587.15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1902621.6400000001</v>
      </c>
      <c r="D50" s="41">
        <f>SUM(D34:D49)</f>
        <v>22693.95</v>
      </c>
      <c r="E50" s="41">
        <f>SUM(E34:E49)</f>
        <v>0</v>
      </c>
      <c r="F50" s="41">
        <f>SUM(F34:F49)</f>
        <v>0</v>
      </c>
      <c r="G50" s="41">
        <f>SUM(G34:G49)</f>
        <v>477383.75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2125066</v>
      </c>
      <c r="D51" s="41">
        <f>D50+D31</f>
        <v>363965.33000000007</v>
      </c>
      <c r="E51" s="41">
        <f>E50+E31</f>
        <v>383921.54000000004</v>
      </c>
      <c r="F51" s="41">
        <f>F50+F31</f>
        <v>0</v>
      </c>
      <c r="G51" s="41">
        <f>G50+G31</f>
        <v>477383.75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12600671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11496.96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0</v>
      </c>
      <c r="D59" s="95">
        <f>'DOE25'!G96</f>
        <v>21.52</v>
      </c>
      <c r="E59" s="95">
        <f>'DOE25'!H96</f>
        <v>0</v>
      </c>
      <c r="F59" s="95">
        <f>'DOE25'!I96</f>
        <v>0</v>
      </c>
      <c r="G59" s="95">
        <f>'DOE25'!J96</f>
        <v>1467.12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242896.06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17054.64</v>
      </c>
      <c r="D61" s="95">
        <f>SUM('DOE25'!G98:G110)</f>
        <v>6434.0199999999995</v>
      </c>
      <c r="E61" s="95">
        <f>SUM('DOE25'!H98:H110)</f>
        <v>291174.43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28551.599999999999</v>
      </c>
      <c r="D62" s="130">
        <f>SUM(D57:D61)</f>
        <v>249351.59999999998</v>
      </c>
      <c r="E62" s="130">
        <f>SUM(E57:E61)</f>
        <v>291174.43</v>
      </c>
      <c r="F62" s="130">
        <f>SUM(F57:F61)</f>
        <v>0</v>
      </c>
      <c r="G62" s="130">
        <f>SUM(G57:G61)</f>
        <v>1467.12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12629222.6</v>
      </c>
      <c r="D63" s="22">
        <f>D56+D62</f>
        <v>249351.59999999998</v>
      </c>
      <c r="E63" s="22">
        <f>E56+E62</f>
        <v>291174.43</v>
      </c>
      <c r="F63" s="22">
        <f>F56+F62</f>
        <v>0</v>
      </c>
      <c r="G63" s="22">
        <f>G56+G62</f>
        <v>1467.12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4926027.95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1989824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6915851.9500000002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21918.89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0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20018.599999999999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13136.23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41937.49</v>
      </c>
      <c r="D78" s="130">
        <f>SUM(D72:D77)</f>
        <v>13136.23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6957789.4400000004</v>
      </c>
      <c r="D81" s="130">
        <f>SUM(D79:D80)+D78+D70</f>
        <v>13136.23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113870.45</v>
      </c>
      <c r="D88" s="95">
        <f>SUM('DOE25'!G153:G161)</f>
        <v>281329.51</v>
      </c>
      <c r="E88" s="95">
        <f>SUM('DOE25'!H153:H161)</f>
        <v>673976.66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113870.45</v>
      </c>
      <c r="D91" s="131">
        <f>SUM(D85:D90)</f>
        <v>281329.51</v>
      </c>
      <c r="E91" s="131">
        <f>SUM(E85:E90)</f>
        <v>673976.66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30329.71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30329.71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765</v>
      </c>
      <c r="C104" s="86">
        <f>C63+C81+C91+C103</f>
        <v>19700882.489999998</v>
      </c>
      <c r="D104" s="86">
        <f>D63+D81+D91+D103</f>
        <v>574147.04999999993</v>
      </c>
      <c r="E104" s="86">
        <f>E63+E81+E91+E103</f>
        <v>965151.09000000008</v>
      </c>
      <c r="F104" s="86">
        <f>F63+F81+F91+F103</f>
        <v>0</v>
      </c>
      <c r="G104" s="86">
        <f>G63+G81+G103</f>
        <v>1467.12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8724174.5500000007</v>
      </c>
      <c r="D109" s="24" t="s">
        <v>289</v>
      </c>
      <c r="E109" s="95">
        <f>('DOE25'!L276)+('DOE25'!L295)+('DOE25'!L314)</f>
        <v>291540.14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2500033.6100000003</v>
      </c>
      <c r="D110" s="24" t="s">
        <v>289</v>
      </c>
      <c r="E110" s="95">
        <f>('DOE25'!L277)+('DOE25'!L296)+('DOE25'!L315)</f>
        <v>278619.32999999996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200138.25999999998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367183.55</v>
      </c>
      <c r="D112" s="24" t="s">
        <v>289</v>
      </c>
      <c r="E112" s="95">
        <f>+('DOE25'!L279)+('DOE25'!L298)+('DOE25'!L317)</f>
        <v>71735.78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6914.5400000000009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11798444.51</v>
      </c>
      <c r="D115" s="86">
        <f>SUM(D109:D114)</f>
        <v>0</v>
      </c>
      <c r="E115" s="86">
        <f>SUM(E109:E114)</f>
        <v>641895.25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1826726.6399999997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1012782.25</v>
      </c>
      <c r="D119" s="24" t="s">
        <v>289</v>
      </c>
      <c r="E119" s="95">
        <f>+('DOE25'!L282)+('DOE25'!L301)+('DOE25'!L320)</f>
        <v>96183.23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385332.84000000008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1181724.2999999998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280122.48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1823172.7800000003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941650.15</v>
      </c>
      <c r="D124" s="24" t="s">
        <v>289</v>
      </c>
      <c r="E124" s="95">
        <f>+('DOE25'!L287)+('DOE25'!L306)+('DOE25'!L325)</f>
        <v>17902.13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551994.57000000007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7451511.4400000004</v>
      </c>
      <c r="D128" s="86">
        <f>SUM(D118:D127)</f>
        <v>551994.57000000007</v>
      </c>
      <c r="E128" s="86">
        <f>SUM(E118:E127)</f>
        <v>114085.36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92306.59</v>
      </c>
      <c r="D130" s="24" t="s">
        <v>289</v>
      </c>
      <c r="E130" s="129">
        <f>'DOE25'!L336</f>
        <v>209170.48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30329.71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77.239999999999995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1389.88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-1467.1200000000001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122636.3</v>
      </c>
      <c r="D144" s="141">
        <f>SUM(D130:D143)</f>
        <v>0</v>
      </c>
      <c r="E144" s="141">
        <f>SUM(E130:E143)</f>
        <v>209170.48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19372592.25</v>
      </c>
      <c r="D145" s="86">
        <f>(D115+D128+D144)</f>
        <v>551994.57000000007</v>
      </c>
      <c r="E145" s="86">
        <f>(E115+E128+E144)</f>
        <v>965151.09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A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2015-2016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8" sqref="J18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740</v>
      </c>
      <c r="B1" s="283"/>
      <c r="C1" s="283"/>
      <c r="D1" s="283"/>
    </row>
    <row r="2" spans="1:4" x14ac:dyDescent="0.2">
      <c r="A2" s="187" t="s">
        <v>717</v>
      </c>
      <c r="B2" s="186" t="str">
        <f>'DOE25'!A2</f>
        <v>Shaker Regional School District</v>
      </c>
    </row>
    <row r="3" spans="1:4" x14ac:dyDescent="0.2">
      <c r="B3" s="188" t="s">
        <v>902</v>
      </c>
    </row>
    <row r="4" spans="1:4" x14ac:dyDescent="0.2">
      <c r="B4" t="s">
        <v>61</v>
      </c>
      <c r="C4" s="179">
        <f>IF('DOE25'!F665+'DOE25'!F670=0,0,ROUND('DOE25'!F672,0))</f>
        <v>13308</v>
      </c>
    </row>
    <row r="5" spans="1:4" x14ac:dyDescent="0.2">
      <c r="B5" t="s">
        <v>704</v>
      </c>
      <c r="C5" s="179">
        <f>IF('DOE25'!G665+'DOE25'!G670=0,0,ROUND('DOE25'!G672,0))</f>
        <v>15096</v>
      </c>
    </row>
    <row r="6" spans="1:4" x14ac:dyDescent="0.2">
      <c r="B6" t="s">
        <v>62</v>
      </c>
      <c r="C6" s="179">
        <f>IF('DOE25'!H665+'DOE25'!H670=0,0,ROUND('DOE25'!H672,0))</f>
        <v>13822</v>
      </c>
    </row>
    <row r="7" spans="1:4" x14ac:dyDescent="0.2">
      <c r="B7" t="s">
        <v>705</v>
      </c>
      <c r="C7" s="179">
        <f>IF('DOE25'!I665+'DOE25'!I670=0,0,ROUND('DOE25'!I672,0))</f>
        <v>13960</v>
      </c>
    </row>
    <row r="9" spans="1:4" x14ac:dyDescent="0.2">
      <c r="A9" s="187" t="s">
        <v>94</v>
      </c>
      <c r="B9" s="188" t="s">
        <v>903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9015715</v>
      </c>
      <c r="D10" s="182">
        <f>ROUND((C10/$C$28)*100,1)</f>
        <v>44.4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2778653</v>
      </c>
      <c r="D11" s="182">
        <f>ROUND((C11/$C$28)*100,1)</f>
        <v>13.7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200138</v>
      </c>
      <c r="D12" s="182">
        <f>ROUND((C12/$C$28)*100,1)</f>
        <v>1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438919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1826727</v>
      </c>
      <c r="D15" s="182">
        <f t="shared" ref="D15:D27" si="0">ROUND((C15/$C$28)*100,1)</f>
        <v>9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1108965</v>
      </c>
      <c r="D16" s="182">
        <f t="shared" si="0"/>
        <v>5.5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385333</v>
      </c>
      <c r="D17" s="182">
        <f t="shared" si="0"/>
        <v>1.9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1181724</v>
      </c>
      <c r="D18" s="182">
        <f t="shared" si="0"/>
        <v>5.8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280122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1823173</v>
      </c>
      <c r="D20" s="182">
        <f t="shared" si="0"/>
        <v>9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959552</v>
      </c>
      <c r="D21" s="182">
        <f t="shared" si="0"/>
        <v>4.7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6915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302664.92000000004</v>
      </c>
      <c r="D27" s="182">
        <f t="shared" si="0"/>
        <v>1.5</v>
      </c>
    </row>
    <row r="28" spans="1:4" x14ac:dyDescent="0.2">
      <c r="B28" s="187" t="s">
        <v>723</v>
      </c>
      <c r="C28" s="180">
        <f>SUM(C10:C27)</f>
        <v>20308600.920000002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301477</v>
      </c>
    </row>
    <row r="30" spans="1:4" x14ac:dyDescent="0.2">
      <c r="B30" s="187" t="s">
        <v>729</v>
      </c>
      <c r="C30" s="180">
        <f>SUM(C28:C29)</f>
        <v>20610077.920000002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904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12600671</v>
      </c>
      <c r="D35" s="182">
        <f t="shared" ref="D35:D40" si="1">ROUND((C35/$C$41)*100,1)</f>
        <v>60.1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321214.66999999993</v>
      </c>
      <c r="D36" s="182">
        <f t="shared" si="1"/>
        <v>1.5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6915852</v>
      </c>
      <c r="D37" s="182">
        <f t="shared" si="1"/>
        <v>33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55074</v>
      </c>
      <c r="D38" s="182">
        <f t="shared" si="1"/>
        <v>0.3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1069177</v>
      </c>
      <c r="D39" s="182">
        <f t="shared" si="1"/>
        <v>5.0999999999999996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20961988.670000002</v>
      </c>
      <c r="D41" s="184">
        <f>SUM(D35:D40)</f>
        <v>99.999999999999986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770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767</v>
      </c>
      <c r="B2" s="295"/>
      <c r="C2" s="295"/>
      <c r="D2" s="295"/>
      <c r="E2" s="295"/>
      <c r="F2" s="292" t="str">
        <f>'DOE25'!A2</f>
        <v>Shaker Regional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0" t="s">
        <v>771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848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2016-08-29T12:49:52Z</cp:lastPrinted>
  <dcterms:created xsi:type="dcterms:W3CDTF">1997-12-04T19:04:30Z</dcterms:created>
  <dcterms:modified xsi:type="dcterms:W3CDTF">2016-12-01T18:48:59Z</dcterms:modified>
</cp:coreProperties>
</file>