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B39" i="12"/>
  <c r="B37" i="12"/>
  <c r="C10" i="12"/>
  <c r="C12" i="12"/>
  <c r="B10" i="12"/>
  <c r="C29" i="12"/>
  <c r="C28" i="12"/>
  <c r="C19" i="12"/>
  <c r="C20" i="12"/>
  <c r="C21" i="12"/>
  <c r="C11" i="12"/>
  <c r="B29" i="12"/>
  <c r="B19" i="12"/>
  <c r="B20" i="12"/>
  <c r="B12" i="12"/>
  <c r="B11" i="12"/>
  <c r="D9" i="13"/>
  <c r="J497" i="1" l="1"/>
  <c r="J498" i="1" s="1"/>
  <c r="J502" i="1"/>
  <c r="J501" i="1"/>
  <c r="I498" i="1"/>
  <c r="H498" i="1"/>
  <c r="G498" i="1"/>
  <c r="F498" i="1"/>
  <c r="J493" i="1"/>
  <c r="I400" i="1"/>
  <c r="H426" i="1"/>
  <c r="I426" i="1"/>
  <c r="G426" i="1"/>
  <c r="F426" i="1"/>
  <c r="H459" i="1"/>
  <c r="G368" i="1"/>
  <c r="H368" i="1"/>
  <c r="F368" i="1"/>
  <c r="G97" i="1"/>
  <c r="G48" i="1"/>
  <c r="I14" i="1"/>
  <c r="H380" i="1"/>
  <c r="H376" i="1"/>
  <c r="H378" i="1"/>
  <c r="H379" i="1"/>
  <c r="G380" i="1"/>
  <c r="H155" i="1" l="1"/>
  <c r="H154" i="1"/>
  <c r="H156" i="1"/>
  <c r="H48" i="1"/>
  <c r="F57" i="1" l="1"/>
  <c r="F10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D50" i="2" s="1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6" i="1"/>
  <c r="L317" i="1"/>
  <c r="L319" i="1"/>
  <c r="L320" i="1"/>
  <c r="L321" i="1"/>
  <c r="L322" i="1"/>
  <c r="L323" i="1"/>
  <c r="L324" i="1"/>
  <c r="E123" i="2" s="1"/>
  <c r="L325" i="1"/>
  <c r="L326" i="1"/>
  <c r="L333" i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G60" i="1"/>
  <c r="H60" i="1"/>
  <c r="E56" i="2" s="1"/>
  <c r="I60" i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2" i="2"/>
  <c r="C113" i="2"/>
  <c r="E113" i="2"/>
  <c r="E114" i="2"/>
  <c r="D115" i="2"/>
  <c r="F115" i="2"/>
  <c r="G115" i="2"/>
  <c r="E120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J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H460" i="1"/>
  <c r="H461" i="1" s="1"/>
  <c r="H641" i="1" s="1"/>
  <c r="G461" i="1"/>
  <c r="H640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F614" i="1"/>
  <c r="G614" i="1"/>
  <c r="H614" i="1"/>
  <c r="I614" i="1"/>
  <c r="J614" i="1"/>
  <c r="K614" i="1"/>
  <c r="G622" i="1"/>
  <c r="G623" i="1"/>
  <c r="G639" i="1"/>
  <c r="G643" i="1"/>
  <c r="G644" i="1"/>
  <c r="H644" i="1"/>
  <c r="G645" i="1"/>
  <c r="G652" i="1"/>
  <c r="H652" i="1"/>
  <c r="G653" i="1"/>
  <c r="H653" i="1"/>
  <c r="G654" i="1"/>
  <c r="H654" i="1"/>
  <c r="H655" i="1"/>
  <c r="L256" i="1"/>
  <c r="C26" i="10"/>
  <c r="L351" i="1"/>
  <c r="D18" i="13"/>
  <c r="C18" i="13" s="1"/>
  <c r="F78" i="2"/>
  <c r="D91" i="2"/>
  <c r="E31" i="2"/>
  <c r="G62" i="2"/>
  <c r="D81" i="2"/>
  <c r="I169" i="1"/>
  <c r="J644" i="1"/>
  <c r="J140" i="1"/>
  <c r="L401" i="1"/>
  <c r="C139" i="2" s="1"/>
  <c r="J655" i="1"/>
  <c r="G36" i="2"/>
  <c r="A40" i="12" l="1"/>
  <c r="A13" i="12"/>
  <c r="J571" i="1"/>
  <c r="L570" i="1"/>
  <c r="I571" i="1"/>
  <c r="H571" i="1"/>
  <c r="L565" i="1"/>
  <c r="F571" i="1"/>
  <c r="L560" i="1"/>
  <c r="J552" i="1"/>
  <c r="H552" i="1"/>
  <c r="L534" i="1"/>
  <c r="K545" i="1"/>
  <c r="J545" i="1"/>
  <c r="L539" i="1"/>
  <c r="I552" i="1"/>
  <c r="H545" i="1"/>
  <c r="K549" i="1"/>
  <c r="G545" i="1"/>
  <c r="I545" i="1"/>
  <c r="L529" i="1"/>
  <c r="G552" i="1"/>
  <c r="K550" i="1"/>
  <c r="F552" i="1"/>
  <c r="K551" i="1"/>
  <c r="L524" i="1"/>
  <c r="L614" i="1"/>
  <c r="G161" i="2"/>
  <c r="D17" i="13"/>
  <c r="C17" i="13" s="1"/>
  <c r="F22" i="13"/>
  <c r="C22" i="13" s="1"/>
  <c r="L433" i="1"/>
  <c r="K503" i="1"/>
  <c r="L393" i="1"/>
  <c r="C138" i="2" s="1"/>
  <c r="J643" i="1"/>
  <c r="L419" i="1"/>
  <c r="I460" i="1"/>
  <c r="I452" i="1"/>
  <c r="J640" i="1"/>
  <c r="J639" i="1"/>
  <c r="I446" i="1"/>
  <c r="G642" i="1" s="1"/>
  <c r="G661" i="1"/>
  <c r="I604" i="1"/>
  <c r="I605" i="1" s="1"/>
  <c r="H604" i="1"/>
  <c r="F663" i="1" s="1"/>
  <c r="F662" i="1"/>
  <c r="I369" i="1"/>
  <c r="H634" i="1" s="1"/>
  <c r="J634" i="1" s="1"/>
  <c r="F661" i="1"/>
  <c r="H661" i="1"/>
  <c r="D29" i="13"/>
  <c r="C29" i="13" s="1"/>
  <c r="L362" i="1"/>
  <c r="G472" i="1" s="1"/>
  <c r="D127" i="2"/>
  <c r="D128" i="2" s="1"/>
  <c r="D145" i="2" s="1"/>
  <c r="F130" i="2"/>
  <c r="F144" i="2" s="1"/>
  <c r="F145" i="2" s="1"/>
  <c r="C29" i="10"/>
  <c r="L382" i="1"/>
  <c r="I472" i="1" s="1"/>
  <c r="G636" i="1"/>
  <c r="I52" i="1"/>
  <c r="H620" i="1" s="1"/>
  <c r="J620" i="1" s="1"/>
  <c r="H338" i="1"/>
  <c r="H352" i="1" s="1"/>
  <c r="E112" i="2"/>
  <c r="H662" i="1"/>
  <c r="E122" i="2"/>
  <c r="E125" i="2"/>
  <c r="E121" i="2"/>
  <c r="L309" i="1"/>
  <c r="E118" i="2"/>
  <c r="C13" i="10"/>
  <c r="C12" i="10"/>
  <c r="E124" i="2"/>
  <c r="H605" i="1"/>
  <c r="E111" i="2"/>
  <c r="L290" i="1"/>
  <c r="K338" i="1"/>
  <c r="K352" i="1" s="1"/>
  <c r="G338" i="1"/>
  <c r="G352" i="1" s="1"/>
  <c r="F338" i="1"/>
  <c r="F352" i="1" s="1"/>
  <c r="G624" i="1"/>
  <c r="K598" i="1"/>
  <c r="G647" i="1" s="1"/>
  <c r="H192" i="1"/>
  <c r="G192" i="1"/>
  <c r="F192" i="1"/>
  <c r="E103" i="2"/>
  <c r="F169" i="1"/>
  <c r="C85" i="2"/>
  <c r="C91" i="2" s="1"/>
  <c r="E78" i="2"/>
  <c r="E81" i="2" s="1"/>
  <c r="H140" i="1"/>
  <c r="C78" i="2"/>
  <c r="C70" i="2"/>
  <c r="C81" i="2" s="1"/>
  <c r="F81" i="2"/>
  <c r="G81" i="2"/>
  <c r="D62" i="2"/>
  <c r="D63" i="2" s="1"/>
  <c r="E62" i="2"/>
  <c r="E63" i="2" s="1"/>
  <c r="C62" i="2"/>
  <c r="H112" i="1"/>
  <c r="C35" i="10"/>
  <c r="G112" i="1"/>
  <c r="F112" i="1"/>
  <c r="C56" i="2"/>
  <c r="J617" i="1"/>
  <c r="F18" i="2"/>
  <c r="D18" i="2"/>
  <c r="C18" i="2"/>
  <c r="C132" i="2"/>
  <c r="H25" i="13"/>
  <c r="G651" i="1"/>
  <c r="J651" i="1" s="1"/>
  <c r="C21" i="10"/>
  <c r="C20" i="10"/>
  <c r="L247" i="1"/>
  <c r="E16" i="13"/>
  <c r="C16" i="13" s="1"/>
  <c r="C17" i="10"/>
  <c r="C125" i="2"/>
  <c r="D15" i="13"/>
  <c r="C15" i="13" s="1"/>
  <c r="G650" i="1"/>
  <c r="J650" i="1" s="1"/>
  <c r="G662" i="1"/>
  <c r="C123" i="2"/>
  <c r="C122" i="2"/>
  <c r="C121" i="2"/>
  <c r="D7" i="13"/>
  <c r="C7" i="13" s="1"/>
  <c r="C16" i="10"/>
  <c r="C15" i="10"/>
  <c r="H257" i="1"/>
  <c r="H271" i="1" s="1"/>
  <c r="A31" i="12"/>
  <c r="C111" i="2"/>
  <c r="K257" i="1"/>
  <c r="K271" i="1" s="1"/>
  <c r="G257" i="1"/>
  <c r="G271" i="1" s="1"/>
  <c r="C110" i="2"/>
  <c r="L229" i="1"/>
  <c r="F257" i="1"/>
  <c r="F271" i="1" s="1"/>
  <c r="J257" i="1"/>
  <c r="J271" i="1" s="1"/>
  <c r="I257" i="1"/>
  <c r="I271" i="1" s="1"/>
  <c r="C10" i="10"/>
  <c r="H647" i="1"/>
  <c r="C124" i="2"/>
  <c r="G649" i="1"/>
  <c r="J649" i="1" s="1"/>
  <c r="D14" i="13"/>
  <c r="C14" i="13" s="1"/>
  <c r="E13" i="13"/>
  <c r="C13" i="13" s="1"/>
  <c r="C19" i="10"/>
  <c r="C18" i="10"/>
  <c r="D12" i="13"/>
  <c r="C12" i="13" s="1"/>
  <c r="E8" i="13"/>
  <c r="C8" i="13" s="1"/>
  <c r="C120" i="2"/>
  <c r="C119" i="2"/>
  <c r="C118" i="2"/>
  <c r="D6" i="13"/>
  <c r="C6" i="13" s="1"/>
  <c r="C109" i="2"/>
  <c r="D5" i="13"/>
  <c r="C5" i="13" s="1"/>
  <c r="L211" i="1"/>
  <c r="J641" i="1"/>
  <c r="K50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L407" i="1"/>
  <c r="C140" i="2" s="1"/>
  <c r="C141" i="2" s="1"/>
  <c r="I192" i="1"/>
  <c r="E91" i="2"/>
  <c r="L408" i="1"/>
  <c r="G637" i="1" s="1"/>
  <c r="D5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J193" i="1"/>
  <c r="G169" i="1"/>
  <c r="G140" i="1"/>
  <c r="F140" i="1"/>
  <c r="G63" i="2"/>
  <c r="G104" i="2" s="1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D104" i="2" s="1"/>
  <c r="I140" i="1"/>
  <c r="A22" i="12"/>
  <c r="J652" i="1"/>
  <c r="G571" i="1"/>
  <c r="I434" i="1"/>
  <c r="G434" i="1"/>
  <c r="L571" i="1" l="1"/>
  <c r="L545" i="1"/>
  <c r="K552" i="1"/>
  <c r="G663" i="1"/>
  <c r="H646" i="1"/>
  <c r="J646" i="1" s="1"/>
  <c r="G638" i="1"/>
  <c r="J472" i="1"/>
  <c r="I461" i="1"/>
  <c r="H642" i="1" s="1"/>
  <c r="J642" i="1"/>
  <c r="G51" i="2"/>
  <c r="I661" i="1"/>
  <c r="C144" i="2"/>
  <c r="G635" i="1"/>
  <c r="C27" i="10"/>
  <c r="G474" i="1"/>
  <c r="H635" i="1"/>
  <c r="H636" i="1"/>
  <c r="J636" i="1" s="1"/>
  <c r="I474" i="1"/>
  <c r="I662" i="1"/>
  <c r="E128" i="2"/>
  <c r="F660" i="1"/>
  <c r="F664" i="1" s="1"/>
  <c r="F672" i="1" s="1"/>
  <c r="C4" i="10" s="1"/>
  <c r="J647" i="1"/>
  <c r="F104" i="2"/>
  <c r="I193" i="1"/>
  <c r="G630" i="1" s="1"/>
  <c r="E104" i="2"/>
  <c r="C39" i="10"/>
  <c r="H193" i="1"/>
  <c r="G629" i="1" s="1"/>
  <c r="C63" i="2"/>
  <c r="C104" i="2" s="1"/>
  <c r="G646" i="1"/>
  <c r="J468" i="1"/>
  <c r="C36" i="10"/>
  <c r="F193" i="1"/>
  <c r="G627" i="1" s="1"/>
  <c r="C25" i="13"/>
  <c r="H33" i="13"/>
  <c r="G660" i="1"/>
  <c r="G664" i="1" s="1"/>
  <c r="G672" i="1" s="1"/>
  <c r="C5" i="10" s="1"/>
  <c r="C115" i="2"/>
  <c r="E33" i="13"/>
  <c r="D35" i="13" s="1"/>
  <c r="C128" i="2"/>
  <c r="L257" i="1"/>
  <c r="L271" i="1" s="1"/>
  <c r="F472" i="1" s="1"/>
  <c r="C51" i="2"/>
  <c r="G631" i="1"/>
  <c r="G193" i="1"/>
  <c r="G626" i="1"/>
  <c r="J52" i="1"/>
  <c r="H621" i="1" s="1"/>
  <c r="J621" i="1" s="1"/>
  <c r="C38" i="10"/>
  <c r="J474" i="1" l="1"/>
  <c r="H638" i="1"/>
  <c r="J638" i="1" s="1"/>
  <c r="J635" i="1"/>
  <c r="H632" i="1"/>
  <c r="F474" i="1"/>
  <c r="F667" i="1"/>
  <c r="I468" i="1"/>
  <c r="H630" i="1" s="1"/>
  <c r="J630" i="1" s="1"/>
  <c r="H468" i="1"/>
  <c r="H470" i="1" s="1"/>
  <c r="F468" i="1"/>
  <c r="F470" i="1" s="1"/>
  <c r="F476" i="1" s="1"/>
  <c r="H622" i="1" s="1"/>
  <c r="J622" i="1" s="1"/>
  <c r="H637" i="1"/>
  <c r="J637" i="1" s="1"/>
  <c r="H631" i="1"/>
  <c r="J631" i="1" s="1"/>
  <c r="J470" i="1"/>
  <c r="G628" i="1"/>
  <c r="G468" i="1"/>
  <c r="G632" i="1"/>
  <c r="G667" i="1"/>
  <c r="C145" i="2"/>
  <c r="C41" i="10"/>
  <c r="D38" i="10" s="1"/>
  <c r="J632" i="1" l="1"/>
  <c r="J476" i="1"/>
  <c r="H626" i="1" s="1"/>
  <c r="J626" i="1" s="1"/>
  <c r="I470" i="1"/>
  <c r="I476" i="1" s="1"/>
  <c r="H625" i="1" s="1"/>
  <c r="J625" i="1" s="1"/>
  <c r="H629" i="1"/>
  <c r="J629" i="1" s="1"/>
  <c r="H627" i="1"/>
  <c r="J627" i="1" s="1"/>
  <c r="H628" i="1"/>
  <c r="J628" i="1" s="1"/>
  <c r="G470" i="1"/>
  <c r="G476" i="1" s="1"/>
  <c r="H623" i="1" s="1"/>
  <c r="J623" i="1" s="1"/>
  <c r="D37" i="10"/>
  <c r="D36" i="10"/>
  <c r="D35" i="10"/>
  <c r="D40" i="10"/>
  <c r="D39" i="10"/>
  <c r="D41" i="10" l="1"/>
  <c r="J328" i="1" l="1"/>
  <c r="J604" i="1" l="1"/>
  <c r="F31" i="13"/>
  <c r="F33" i="13" s="1"/>
  <c r="J338" i="1"/>
  <c r="J352" i="1" l="1"/>
  <c r="H648" i="1"/>
  <c r="J605" i="1"/>
  <c r="H663" i="1"/>
  <c r="I663" i="1" s="1"/>
  <c r="K604" i="1"/>
  <c r="K605" i="1" s="1"/>
  <c r="G648" i="1" s="1"/>
  <c r="J648" i="1" l="1"/>
  <c r="L315" i="1"/>
  <c r="I328" i="1"/>
  <c r="I338" i="1" s="1"/>
  <c r="I352" i="1" s="1"/>
  <c r="C11" i="10" l="1"/>
  <c r="E110" i="2"/>
  <c r="E115" i="2" s="1"/>
  <c r="E145" i="2" s="1"/>
  <c r="L328" i="1"/>
  <c r="D31" i="13" l="1"/>
  <c r="L338" i="1"/>
  <c r="H660" i="1"/>
  <c r="C28" i="10"/>
  <c r="D11" i="10" s="1"/>
  <c r="H664" i="1" l="1"/>
  <c r="I660" i="1"/>
  <c r="I664" i="1" s="1"/>
  <c r="L352" i="1"/>
  <c r="C31" i="13"/>
  <c r="D33" i="13"/>
  <c r="D36" i="13" s="1"/>
  <c r="D19" i="10"/>
  <c r="D27" i="10"/>
  <c r="D21" i="10"/>
  <c r="D16" i="10"/>
  <c r="D25" i="10"/>
  <c r="D12" i="10"/>
  <c r="D17" i="10"/>
  <c r="D10" i="10"/>
  <c r="D23" i="10"/>
  <c r="D22" i="10"/>
  <c r="D24" i="10"/>
  <c r="D26" i="10"/>
  <c r="D20" i="10"/>
  <c r="D18" i="10"/>
  <c r="D13" i="10"/>
  <c r="C30" i="10"/>
  <c r="D15" i="10"/>
  <c r="H672" i="1" l="1"/>
  <c r="C6" i="10" s="1"/>
  <c r="H667" i="1"/>
  <c r="H472" i="1"/>
  <c r="G633" i="1"/>
  <c r="D28" i="10"/>
  <c r="I672" i="1"/>
  <c r="C7" i="10" s="1"/>
  <c r="I667" i="1"/>
  <c r="H633" i="1" l="1"/>
  <c r="J633" i="1" s="1"/>
  <c r="H474" i="1"/>
  <c r="H476" i="1" s="1"/>
  <c r="H624" i="1" s="1"/>
  <c r="J624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<sst xmlns="http://schemas.openxmlformats.org/spreadsheetml/2006/main" count="3965" uniqueCount="920">
  <si>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</si>
  <si>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</si>
  <si>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</si>
  <si>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</si>
  <si>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</si>
  <si>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</si>
  <si>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</si>
  <si>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</si>
  <si>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</si>
  <si>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</si>
  <si>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</si>
  <si>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</si>
  <si>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</si>
  <si>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</si>
  <si>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</si>
  <si>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</si>
  <si>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</si>
  <si>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</si>
  <si>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</si>
  <si>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</si>
  <si>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</si>
  <si>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</si>
  <si>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</si>
  <si>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</si>
  <si>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</si>
  <si>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</si>
  <si>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</si>
  <si>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</si>
  <si>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</si>
  <si>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</si>
  <si>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</si>
  <si>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</si>
  <si>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</si>
  <si>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</si>
  <si>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</si>
  <si>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</si>
  <si>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</si>
  <si>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</si>
  <si>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</si>
  <si>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</si>
  <si>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</si>
  <si>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</si>
  <si>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</si>
  <si>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</si>
  <si>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</si>
  <si>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</si>
  <si>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</si>
  <si>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</si>
  <si>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</si>
  <si>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</si>
  <si>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</si>
  <si>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</si>
  <si>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</si>
  <si>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</si>
  <si>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</si>
  <si>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</si>
  <si>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</si>
  <si>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</si>
  <si>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</si>
  <si>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</si>
  <si>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</si>
  <si>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</si>
  <si>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</si>
  <si>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</si>
  <si>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</si>
  <si>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</si>
  <si>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</si>
  <si>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</si>
  <si>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</si>
  <si>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</si>
  <si>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</si>
  <si>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</si>
  <si>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</si>
  <si>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</si>
  <si>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</si>
  <si>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</si>
  <si>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</si>
  <si>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</si>
  <si>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</si>
  <si>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</si>
  <si>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</si>
  <si>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</si>
  <si>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</si>
  <si>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</si>
  <si>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</si>
  <si>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</si>
  <si>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</si>
  <si>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</si>
  <si>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</si>
  <si>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</si>
  <si>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</si>
  <si>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</si>
  <si>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</si>
  <si>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</si>
  <si>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</si>
  <si>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</si>
  <si>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</si>
  <si>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</si>
  <si>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</si>
  <si>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</si>
  <si>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</si>
  <si>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</si>
  <si>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</si>
  <si>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</si>
  <si>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</si>
  <si>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</si>
  <si>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</si>
  <si>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</si>
  <si>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</si>
  <si>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</si>
  <si>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</si>
  <si>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</si>
  <si>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</si>
  <si>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</si>
  <si>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</si>
  <si>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</si>
  <si>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</si>
  <si>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</si>
  <si>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</si>
  <si>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</si>
  <si>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</si>
  <si>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</si>
  <si>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</si>
  <si>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</si>
  <si>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</si>
  <si>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</si>
  <si>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</si>
  <si>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</si>
  <si>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</si>
  <si>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</si>
  <si>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</si>
  <si>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</si>
  <si>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</si>
  <si>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</si>
  <si>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</si>
  <si>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</si>
  <si>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</si>
  <si>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</si>
  <si>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</si>
  <si>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</si>
  <si>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</si>
  <si>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</si>
  <si>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</si>
  <si>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</si>
  <si>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</si>
  <si>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</si>
  <si>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</si>
  <si>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</si>
  <si>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</si>
  <si>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</si>
  <si>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</si>
  <si>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</si>
  <si>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</si>
  <si>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</si>
  <si>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</si>
  <si>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</si>
  <si>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</si>
  <si>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</si>
  <si>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</si>
  <si>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</si>
  <si>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</si>
  <si>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</si>
  <si>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</si>
  <si>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</si>
  <si>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</si>
  <si>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</si>
  <si>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</si>
  <si>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</si>
  <si>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</si>
  <si>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</si>
  <si>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</si>
  <si>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</si>
  <si>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</si>
  <si>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</si>
  <si>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</si>
  <si>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</si>
  <si>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</si>
  <si>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</si>
  <si>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</si>
  <si>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</si>
  <si>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</si>
  <si>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</si>
  <si>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</si>
  <si>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</si>
  <si>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</si>
  <si>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</si>
  <si>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</si>
  <si>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</si>
  <si>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</si>
  <si>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</si>
  <si>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</si>
  <si>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</si>
  <si>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</si>
  <si>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</si>
  <si>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</si>
  <si>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</si>
  <si>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</si>
  <si>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</si>
  <si>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</si>
  <si>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</si>
  <si>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</si>
  <si>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</si>
  <si>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</si>
  <si>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</si>
  <si>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</si>
  <si>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</si>
  <si>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</si>
  <si>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</si>
  <si>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</si>
  <si>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</si>
  <si>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</si>
  <si>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</si>
  <si>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</si>
  <si>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</si>
  <si>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</si>
  <si>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</si>
  <si>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</si>
  <si>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</si>
  <si>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</si>
  <si>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</si>
  <si>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</si>
  <si>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</si>
  <si>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</si>
  <si>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</si>
  <si>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</si>
  <si>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</si>
  <si>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</si>
  <si>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</si>
  <si>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</si>
  <si>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</si>
  <si>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</si>
  <si>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</si>
  <si>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</si>
  <si>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</si>
  <si>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</si>
  <si>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</si>
  <si>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</si>
  <si>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</si>
  <si>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</si>
  <si>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</si>
  <si>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</si>
  <si>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</si>
  <si>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</si>
  <si>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</si>
  <si>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</si>
  <si>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</si>
  <si>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</si>
  <si>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</si>
  <si>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</si>
  <si>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</si>
  <si>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</si>
  <si>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</si>
  <si>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</si>
  <si>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</si>
  <si>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</si>
  <si>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</si>
  <si>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</si>
  <si>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</si>
  <si>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</si>
  <si>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</si>
  <si>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</si>
  <si>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</si>
  <si>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</si>
  <si>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</si>
  <si>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</si>
  <si>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</si>
  <si>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</si>
  <si>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</si>
  <si>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</si>
  <si>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</si>
  <si>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</si>
  <si>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</si>
  <si>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</si>
  <si>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</si>
  <si>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</si>
  <si>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</si>
  <si>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</si>
  <si>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</si>
  <si>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</si>
  <si>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</si>
  <si>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</si>
  <si>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</si>
  <si>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</si>
  <si>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</si>
  <si>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</si>
  <si>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</si>
  <si>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</si>
  <si>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</si>
  <si>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</si>
  <si>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</si>
  <si>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</si>
  <si>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</si>
  <si>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</si>
  <si>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</si>
  <si>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</si>
  <si>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</si>
  <si>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</si>
  <si>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</si>
  <si>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</si>
  <si>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</si>
  <si>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</si>
  <si>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</si>
  <si>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</si>
  <si>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</si>
  <si>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</si>
  <si>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</si>
  <si>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</si>
  <si>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</si>
  <si>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</si>
  <si>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</si>
  <si>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</si>
  <si>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</si>
  <si>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</si>
  <si>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</si>
  <si>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</si>
  <si>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</si>
  <si>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</si>
  <si>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</si>
  <si>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</si>
  <si>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</si>
  <si>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</si>
  <si>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</si>
  <si>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</si>
  <si>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</si>
  <si>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</si>
  <si>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</si>
  <si>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</si>
  <si>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</si>
  <si>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</si>
  <si>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</si>
  <si>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</si>
  <si>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</si>
  <si>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</si>
  <si>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</si>
  <si>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</si>
  <si>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</si>
  <si>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</si>
  <si>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</si>
  <si>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</si>
  <si>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</si>
  <si>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</si>
  <si>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</si>
  <si>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</si>
  <si>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</si>
  <si>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</si>
  <si>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</si>
  <si>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</si>
  <si>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</si>
  <si>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</si>
  <si>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</si>
  <si>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</si>
  <si>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</si>
  <si>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</si>
  <si>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</si>
  <si>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</si>
  <si>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</si>
  <si>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</si>
  <si>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</si>
  <si>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</si>
  <si>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</si>
  <si>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</si>
  <si>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</si>
  <si>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</si>
  <si>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</si>
  <si>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</si>
  <si>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</si>
  <si>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</si>
  <si>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</si>
  <si>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</si>
  <si>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</si>
  <si>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</si>
  <si>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</si>
  <si>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</si>
  <si>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</si>
  <si>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</si>
  <si>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</si>
  <si>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</si>
  <si>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</si>
  <si>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</si>
  <si>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</si>
  <si>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</si>
  <si>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</si>
  <si>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</si>
  <si>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</si>
  <si>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</si>
  <si>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</si>
  <si>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</si>
  <si>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</si>
  <si>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</si>
  <si>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</si>
  <si>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</si>
  <si>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</si>
  <si>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</si>
  <si>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</si>
  <si>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</si>
  <si>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</si>
  <si>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</si>
  <si>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</si>
  <si>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</si>
  <si>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</si>
  <si>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</si>
  <si>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</si>
  <si>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</si>
  <si>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</si>
  <si>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</si>
  <si>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</si>
  <si>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</si>
  <si>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</si>
  <si>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</si>
  <si>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</si>
  <si>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</si>
  <si>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</si>
  <si>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</si>
  <si>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</si>
  <si>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</si>
  <si>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</si>
  <si>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</si>
  <si>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</si>
  <si>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</si>
  <si>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</si>
  <si>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</si>
  <si>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</si>
  <si>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</si>
  <si>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</si>
  <si>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</si>
  <si>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</si>
  <si>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</si>
  <si>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</si>
  <si>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</si>
  <si>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</si>
  <si>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</si>
  <si>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</si>
  <si>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</si>
  <si>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</si>
  <si>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</si>
  <si>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</si>
  <si>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</si>
  <si>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</si>
  <si>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</si>
  <si>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</si>
  <si>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</si>
  <si>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</si>
  <si>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</si>
  <si>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</si>
  <si>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</si>
  <si>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</si>
  <si>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</si>
  <si>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</si>
  <si>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</si>
  <si>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</si>
  <si>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</si>
  <si>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</si>
  <si>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</si>
  <si>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</si>
  <si>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</si>
  <si>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</si>
  <si>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</si>
  <si>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</si>
  <si>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</si>
  <si>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</si>
  <si>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</si>
  <si>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</si>
  <si>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</si>
  <si>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</si>
  <si>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</si>
  <si>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</si>
  <si>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</si>
  <si>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</si>
  <si>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</si>
  <si>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</si>
  <si>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</si>
  <si>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</si>
  <si>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</si>
  <si>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</si>
  <si>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</si>
  <si>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</si>
  <si>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</si>
  <si>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</si>
  <si>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</si>
  <si>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</si>
  <si>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</si>
  <si>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</si>
  <si>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</si>
  <si>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</si>
  <si>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</si>
  <si>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</si>
  <si>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</si>
  <si>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</si>
  <si>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</si>
  <si>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</si>
  <si>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</si>
  <si>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</si>
  <si>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</si>
  <si>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</si>
  <si>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</si>
  <si>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</si>
  <si>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</si>
  <si>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</si>
  <si>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</si>
  <si>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</si>
  <si>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</si>
  <si>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</si>
  <si>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</si>
  <si>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</si>
  <si>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</si>
  <si>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</si>
  <si>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</si>
  <si>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</si>
  <si>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</si>
  <si>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</si>
  <si>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</si>
  <si>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</si>
  <si>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</si>
  <si>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</si>
  <si>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</si>
  <si>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</si>
  <si>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</si>
  <si>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</si>
  <si>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</si>
  <si>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</si>
  <si>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</si>
  <si>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</si>
  <si>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</si>
  <si>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</si>
  <si>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</si>
  <si>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</si>
  <si>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</si>
  <si>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</si>
  <si>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</si>
  <si>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</si>
  <si>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</si>
  <si>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</si>
  <si>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</si>
  <si>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</si>
  <si>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</si>
  <si>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</si>
  <si>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</si>
  <si>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</si>
  <si>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</si>
  <si>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</si>
  <si>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</si>
  <si>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</si>
  <si>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</si>
  <si>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</si>
  <si>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</si>
  <si>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</si>
  <si>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</si>
  <si>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</si>
  <si>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</si>
  <si>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</si>
  <si>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</si>
  <si>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</si>
  <si>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</si>
  <si>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</si>
  <si>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</si>
  <si>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</si>
  <si>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</si>
  <si>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</si>
  <si>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</si>
  <si>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</si>
  <si>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</si>
  <si>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</si>
  <si>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</si>
  <si>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</si>
  <si>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</si>
  <si>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</si>
  <si>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</si>
  <si>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</si>
  <si>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</si>
  <si>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</si>
  <si>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</si>
  <si>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</si>
  <si>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</si>
  <si>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</si>
  <si>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</si>
  <si>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</si>
  <si>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</si>
  <si>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</si>
  <si>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</si>
  <si>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</si>
  <si>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</si>
  <si>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</si>
  <si>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</si>
  <si>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</si>
  <si>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</si>
  <si>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</si>
  <si>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</si>
  <si>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</si>
  <si>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</si>
  <si>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</si>
  <si>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</si>
  <si>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</si>
  <si>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</si>
  <si>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</si>
  <si>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</si>
  <si>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</si>
  <si>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</si>
  <si>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</si>
  <si>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</si>
  <si>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</si>
  <si>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</si>
  <si>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</si>
  <si>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</si>
  <si>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</si>
  <si>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</si>
  <si>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</si>
  <si>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</si>
  <si>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</si>
  <si>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</si>
  <si>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</si>
  <si>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</si>
  <si>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</si>
  <si>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</si>
  <si>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</si>
  <si>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</si>
  <si>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</si>
  <si>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</si>
  <si>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</si>
  <si>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</si>
  <si>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</si>
  <si>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</si>
  <si>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</si>
  <si>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</si>
  <si>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</si>
  <si>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</si>
  <si>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</si>
  <si>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</si>
  <si>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</si>
  <si>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</si>
  <si>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</si>
  <si>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</si>
  <si>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</si>
  <si>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</si>
  <si>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</si>
  <si>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</si>
  <si>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</si>
  <si>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</si>
  <si>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</si>
  <si>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</si>
  <si>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</si>
  <si>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</si>
  <si>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</si>
  <si>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</si>
  <si>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</si>
  <si>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</si>
  <si>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</si>
  <si>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</si>
  <si>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</si>
  <si>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</si>
  <si>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</si>
  <si>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</si>
  <si>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</si>
  <si>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</si>
  <si>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</si>
  <si>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</si>
  <si>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</si>
  <si>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</si>
  <si>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</si>
  <si>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</si>
  <si>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</si>
  <si>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</si>
  <si>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</si>
  <si>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</si>
  <si>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</si>
  <si>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</si>
  <si>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</si>
  <si>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</si>
  <si>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</si>
  <si>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</si>
  <si>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</si>
  <si>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</si>
  <si>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</si>
  <si>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</si>
  <si>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</si>
  <si>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</si>
  <si>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</si>
  <si>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</si>
  <si>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</si>
  <si>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</si>
  <si>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</si>
  <si>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</si>
  <si>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</si>
  <si>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</si>
  <si>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</si>
  <si>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</si>
  <si>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</si>
  <si>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</si>
  <si>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</si>
  <si>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</si>
  <si>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</si>
  <si>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</si>
  <si>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</si>
  <si>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</si>
  <si>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</si>
  <si>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</si>
  <si>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</si>
  <si>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</si>
  <si>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</si>
  <si>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</si>
  <si>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</si>
  <si>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</si>
  <si>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</si>
  <si>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</si>
  <si>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</si>
  <si>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</si>
  <si>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</si>
  <si>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</si>
  <si>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</si>
  <si>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</si>
  <si>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</si>
  <si>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</si>
  <si>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</si>
  <si>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</si>
  <si>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</si>
  <si>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</si>
  <si>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</si>
  <si>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</si>
  <si>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</si>
  <si>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</si>
  <si>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</si>
  <si>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</si>
  <si>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</si>
  <si>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</si>
  <si>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</si>
  <si>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</si>
  <si>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</si>
  <si>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</si>
  <si>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</si>
  <si>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</si>
  <si>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</si>
  <si>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</si>
  <si>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</si>
  <si>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</si>
  <si>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</si>
  <si>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</si>
  <si>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</si>
  <si>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</si>
  <si>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</si>
  <si>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</si>
  <si>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</si>
  <si>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</si>
  <si>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</si>
  <si>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</si>
  <si>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</si>
  <si>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</si>
  <si>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</si>
  <si>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</si>
  <si>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</si>
  <si>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</si>
  <si>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</si>
  <si>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</si>
  <si>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</si>
  <si>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</si>
  <si>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</si>
  <si>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</si>
  <si>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</si>
  <si>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</si>
  <si>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</si>
  <si>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</si>
  <si>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</si>
  <si>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</si>
  <si>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</si>
  <si>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</si>
  <si>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</si>
  <si>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</si>
  <si>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</si>
  <si>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</si>
  <si>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</si>
  <si>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</si>
  <si>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</si>
  <si>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</si>
  <si>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</si>
  <si>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</si>
  <si>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</si>
  <si>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</si>
  <si>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</si>
  <si>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</si>
  <si>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</si>
  <si>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</si>
  <si>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</si>
  <si>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</si>
  <si>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</si>
  <si>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</si>
  <si>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</si>
  <si>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</si>
  <si>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</si>
  <si>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</si>
  <si>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</si>
  <si>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</si>
  <si>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</si>
  <si>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</si>
  <si>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</si>
  <si>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</si>
  <si>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</si>
  <si>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</si>
  <si>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</si>
  <si>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</si>
  <si>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</si>
  <si>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</si>
  <si>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</si>
  <si>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</si>
  <si>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</si>
  <si>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</si>
  <si>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</si>
  <si>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</si>
  <si>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</si>
  <si>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</si>
  <si>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</si>
  <si>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</si>
  <si>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</si>
  <si>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</si>
  <si>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</si>
  <si>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</si>
  <si>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</si>
  <si>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</si>
  <si>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</si>
  <si>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</si>
  <si>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</si>
  <si>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</si>
  <si>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</si>
  <si>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</si>
  <si>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</si>
  <si>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</si>
  <si>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</si>
  <si>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</si>
  <si>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</si>
  <si>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</si>
  <si>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</si>
  <si>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</si>
  <si>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</si>
  <si>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</si>
  <si>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</si>
  <si>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</si>
  <si>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</si>
  <si>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</si>
  <si>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</si>
  <si>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</si>
  <si>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</si>
  <si>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</si>
  <si>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</si>
  <si>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</si>
  <si>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</si>
  <si>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</si>
  <si>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</si>
  <si>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</si>
  <si>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</si>
  <si>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</si>
  <si>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</si>
  <si>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</si>
  <si>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</si>
  <si>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</si>
  <si>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</si>
  <si>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</si>
  <si>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</si>
  <si>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</si>
  <si>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</si>
  <si>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</si>
  <si>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</si>
  <si>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</si>
  <si>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</si>
  <si>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</si>
  <si>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</si>
  <si>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</si>
  <si>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</si>
  <si>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</si>
  <si>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</si>
  <si>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</si>
  <si>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</si>
  <si>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</si>
  <si>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</si>
  <si>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</si>
  <si>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</si>
  <si>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</si>
  <si>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</si>
  <si>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</si>
  <si>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</si>
  <si>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</si>
  <si>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</si>
  <si>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</si>
  <si>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</si>
  <si>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</si>
  <si>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</si>
  <si>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</si>
  <si>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</si>
  <si>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</si>
  <si>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</si>
  <si>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</si>
  <si>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</si>
  <si>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</si>
  <si>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</si>
  <si>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</si>
  <si>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</si>
  <si>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</si>
  <si>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</si>
  <si>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</si>
  <si>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</si>
  <si>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</si>
  <si>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</si>
  <si>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</si>
  <si>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</si>
  <si>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</si>
  <si>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</si>
  <si>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</si>
  <si>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</si>
  <si>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</si>
  <si>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</si>
  <si>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</si>
  <si>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</si>
  <si>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</si>
  <si>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</si>
  <si>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</si>
  <si>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</si>
  <si>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</t>
  </si>
  <si>
    <t>07/08</t>
  </si>
  <si>
    <t>01/10</t>
  </si>
  <si>
    <t>08/13</t>
  </si>
  <si>
    <t>08/18</t>
  </si>
  <si>
    <t>01/30</t>
  </si>
  <si>
    <t>08/28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</si>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</sst>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8" zoomScaleNormal="118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4" t="s">
        <v>919</v>
      </c>
      <c r="B2" s="21">
        <v>491</v>
      </c>
      <c r="C2" s="21">
        <v>491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1284137.32</v>
      </c>
      <c r="J9" s="66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259025.08</v>
      </c>
      <c r="G12" s="18">
        <v>19269.71</v>
      </c>
      <c r="H12" s="18">
        <v>0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82699.179999999993</v>
      </c>
      <c r="H13" s="18">
        <v>0</v>
      </c>
      <c r="I13" s="18">
        <v>0</v>
      </c>
      <c r="J13" s="66">
        <f>SUM(I442)</f>
        <v>126195.2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30398.959999999999</v>
      </c>
      <c r="G14" s="18">
        <v>0</v>
      </c>
      <c r="H14" s="18">
        <v>288816.01</v>
      </c>
      <c r="I14" s="18">
        <f>1903432.81-853665.94</f>
        <v>1049766.8700000001</v>
      </c>
      <c r="J14" s="66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289424.03999999998</v>
      </c>
      <c r="G19" s="41">
        <f>SUM(G9:G18)</f>
        <v>101968.88999999998</v>
      </c>
      <c r="H19" s="41">
        <f>SUM(H9:H18)</f>
        <v>288816.01</v>
      </c>
      <c r="I19" s="41">
        <f>SUM(I9:I18)</f>
        <v>2333904.1900000004</v>
      </c>
      <c r="J19" s="41">
        <f>SUM(J9:J18)</f>
        <v>126195.2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210302.3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50.54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289424.03999999998</v>
      </c>
      <c r="G24" s="18">
        <v>7432.25</v>
      </c>
      <c r="H24" s="18">
        <v>0</v>
      </c>
      <c r="I24" s="18">
        <v>1304628.71</v>
      </c>
      <c r="J24" s="66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7456.38</v>
      </c>
      <c r="I25" s="18">
        <v>361326.13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1625000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289424.03999999998</v>
      </c>
      <c r="G32" s="41">
        <f>SUM(G22:G31)</f>
        <v>7432.25</v>
      </c>
      <c r="H32" s="41">
        <f>SUM(H22:H31)</f>
        <v>217758.68</v>
      </c>
      <c r="I32" s="41">
        <f>SUM(I22:I31)</f>
        <v>3290954.84</v>
      </c>
      <c r="J32" s="41">
        <f>SUM(J22:J31)</f>
        <v>50.54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52169+42367.64</f>
        <v>94536.639999999999</v>
      </c>
      <c r="H48" s="18">
        <f>74599.29-3541.96</f>
        <v>71057.329999999987</v>
      </c>
      <c r="I48" s="18">
        <v>-957050.65</v>
      </c>
      <c r="J48" s="13">
        <f>SUM(I459)</f>
        <v>126144.65999999999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94536.639999999999</v>
      </c>
      <c r="H51" s="41">
        <f>SUM(H35:H50)</f>
        <v>71057.329999999987</v>
      </c>
      <c r="I51" s="41">
        <f>SUM(I35:I50)</f>
        <v>-957050.65</v>
      </c>
      <c r="J51" s="41">
        <f>SUM(J35:J50)</f>
        <v>126144.65999999999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289424.03999999998</v>
      </c>
      <c r="G52" s="41">
        <f>G51+G32</f>
        <v>101968.89</v>
      </c>
      <c r="H52" s="41">
        <f>H51+H32</f>
        <v>288816.01</v>
      </c>
      <c r="I52" s="41">
        <f>I51+I32</f>
        <v>2333904.19</v>
      </c>
      <c r="J52" s="41">
        <f>J51+J32</f>
        <v>126195.19999999998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15948424.98-2003328</f>
        <v>13945096.98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371000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14316096.98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570852.56000000006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4830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9554.09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585236.65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220958.79+16781.43+2397.1-66966.92+14503.7+46837.8+40398.17+30772.84</f>
        <v>305682.91000000003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750-4918.31</f>
        <v>-4168.3100000000004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93115.16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-4168.3100000000004</v>
      </c>
      <c r="G111" s="41">
        <f>SUM(G96:G110)</f>
        <v>305682.91000000003</v>
      </c>
      <c r="H111" s="41">
        <f>SUM(H96:H110)</f>
        <v>0</v>
      </c>
      <c r="I111" s="41">
        <f>SUM(I96:I110)</f>
        <v>0</v>
      </c>
      <c r="J111" s="41">
        <f>SUM(J96:J110)</f>
        <v>93115.16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14897165.32</v>
      </c>
      <c r="G112" s="41">
        <f>G60+G111</f>
        <v>305682.91000000003</v>
      </c>
      <c r="H112" s="41">
        <f>H60+H79+H94+H111</f>
        <v>0</v>
      </c>
      <c r="I112" s="41">
        <f>I60+I111</f>
        <v>0</v>
      </c>
      <c r="J112" s="41">
        <f>J60+J111</f>
        <v>93115.16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7811169.0999999996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2003328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1016.27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9815513.3699999992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864932.38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425815.28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34823.69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3296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9216.0400000000009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1328867.3500000001</v>
      </c>
      <c r="G136" s="41">
        <f>SUM(G123:G135)</f>
        <v>9216.0400000000009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11144380.719999999</v>
      </c>
      <c r="G140" s="41">
        <f>G121+SUM(G136:G137)</f>
        <v>9216.0400000000009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2926218.95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48364.56+11114.66+4456.78+14280+691438.89+74167.35+26250</f>
        <v>870072.24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83082.05+4725+30330.45+1923.82+13812.33+1485.58+11214.4+14626.38+14960.5+14755.25+7215.79+2715.81+114255.17+159278.42+8651.2</f>
        <v>483032.14999999997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99427.99+6094.65</f>
        <v>105522.64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425531.19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356140.08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356140.08</v>
      </c>
      <c r="G162" s="41">
        <f>SUM(G150:G161)</f>
        <v>425531.19</v>
      </c>
      <c r="H162" s="41">
        <f>SUM(H150:H161)</f>
        <v>1458627.0299999998</v>
      </c>
      <c r="I162" s="41">
        <f>SUM(I150:I161)</f>
        <v>2926218.95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356140.08</v>
      </c>
      <c r="G169" s="41">
        <f>G147+G162+SUM(G163:G168)</f>
        <v>425531.19</v>
      </c>
      <c r="H169" s="41">
        <f>H147+H162+SUM(H163:H168)</f>
        <v>1458627.0299999998</v>
      </c>
      <c r="I169" s="41">
        <f>I147+I162+SUM(I163:I168)</f>
        <v>2926218.95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66.02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66.02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371000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371000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371066.02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26397686.119999997</v>
      </c>
      <c r="G193" s="47">
        <f>G112+G140+G169+G192</f>
        <v>740430.14</v>
      </c>
      <c r="H193" s="47">
        <f>H112+H140+H169+H192</f>
        <v>1458627.0299999998</v>
      </c>
      <c r="I193" s="47">
        <f>I112+I140+I169+I192</f>
        <v>3297284.97</v>
      </c>
      <c r="J193" s="47">
        <f>J112+J140+J192</f>
        <v>93115.16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2161609.1210462288</v>
      </c>
      <c r="G197" s="18">
        <v>1300747.5887226276</v>
      </c>
      <c r="H197" s="18">
        <v>49043.109379562047</v>
      </c>
      <c r="I197" s="18">
        <v>82399.381727493907</v>
      </c>
      <c r="J197" s="18">
        <v>5066.84</v>
      </c>
      <c r="K197" s="18">
        <v>0</v>
      </c>
      <c r="L197" s="19">
        <f>SUM(F197:K197)</f>
        <v>3598866.0408759122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1445170.5939902677</v>
      </c>
      <c r="G198" s="18">
        <v>1048358.9983211679</v>
      </c>
      <c r="H198" s="18">
        <v>321699.72986618005</v>
      </c>
      <c r="I198" s="18">
        <v>20646.18</v>
      </c>
      <c r="J198" s="18">
        <v>0</v>
      </c>
      <c r="K198" s="18">
        <v>0</v>
      </c>
      <c r="L198" s="19">
        <f>SUM(F198:K198)</f>
        <v>2835875.5021776156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451641.29846715328</v>
      </c>
      <c r="G202" s="18">
        <v>216238.25773722626</v>
      </c>
      <c r="H202" s="18">
        <v>196617.83464720193</v>
      </c>
      <c r="I202" s="18">
        <v>2268.8599999999997</v>
      </c>
      <c r="J202" s="18">
        <v>0</v>
      </c>
      <c r="K202" s="18">
        <v>6678.4322141119219</v>
      </c>
      <c r="L202" s="19">
        <f t="shared" ref="L202:L208" si="0">SUM(F202:K202)</f>
        <v>873444.68306569336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54755</v>
      </c>
      <c r="G203" s="18">
        <v>32726.92391727494</v>
      </c>
      <c r="H203" s="18">
        <v>33884.791557177618</v>
      </c>
      <c r="I203" s="18">
        <v>2150</v>
      </c>
      <c r="J203" s="18">
        <v>0</v>
      </c>
      <c r="K203" s="18">
        <v>0</v>
      </c>
      <c r="L203" s="19">
        <f t="shared" si="0"/>
        <v>123516.71547445256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1643.4367396593673</v>
      </c>
      <c r="G204" s="18">
        <v>309.28480535279806</v>
      </c>
      <c r="H204" s="18">
        <v>482583.41627737222</v>
      </c>
      <c r="I204" s="18">
        <v>3190.1794647201946</v>
      </c>
      <c r="J204" s="18">
        <v>0</v>
      </c>
      <c r="K204" s="18">
        <v>2432.9095012165449</v>
      </c>
      <c r="L204" s="19">
        <f t="shared" si="0"/>
        <v>490159.2267883211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361121.82</v>
      </c>
      <c r="G205" s="18">
        <v>189948.06</v>
      </c>
      <c r="H205" s="18">
        <v>3617.2882846715329</v>
      </c>
      <c r="I205" s="18">
        <v>1133.3499999999999</v>
      </c>
      <c r="J205" s="18">
        <v>0</v>
      </c>
      <c r="K205" s="18">
        <v>2295</v>
      </c>
      <c r="L205" s="19">
        <f t="shared" si="0"/>
        <v>558115.51828467147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329745.54249391734</v>
      </c>
      <c r="G207" s="18">
        <v>142424.84180048664</v>
      </c>
      <c r="H207" s="18">
        <v>218377.2073357664</v>
      </c>
      <c r="I207" s="18">
        <v>251725.6120681265</v>
      </c>
      <c r="J207" s="18">
        <v>0</v>
      </c>
      <c r="K207" s="18">
        <v>0</v>
      </c>
      <c r="L207" s="19">
        <f t="shared" si="0"/>
        <v>942273.2036982968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457743.27665450121</v>
      </c>
      <c r="I208" s="18">
        <v>2137.7425547445255</v>
      </c>
      <c r="J208" s="18">
        <v>0</v>
      </c>
      <c r="K208" s="18">
        <v>0</v>
      </c>
      <c r="L208" s="19">
        <f t="shared" si="0"/>
        <v>459881.01920924574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159055.68912408757</v>
      </c>
      <c r="I209" s="18">
        <v>0</v>
      </c>
      <c r="J209" s="18">
        <v>0</v>
      </c>
      <c r="K209" s="18">
        <v>0</v>
      </c>
      <c r="L209" s="19">
        <f>SUM(F209:K209)</f>
        <v>159055.68912408757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4805686.8127372265</v>
      </c>
      <c r="G211" s="41">
        <f t="shared" si="1"/>
        <v>2930753.9553041365</v>
      </c>
      <c r="H211" s="41">
        <f t="shared" si="1"/>
        <v>1922622.3431265205</v>
      </c>
      <c r="I211" s="41">
        <f t="shared" si="1"/>
        <v>365651.30581508513</v>
      </c>
      <c r="J211" s="41">
        <f t="shared" si="1"/>
        <v>5066.84</v>
      </c>
      <c r="K211" s="41">
        <f t="shared" si="1"/>
        <v>11406.341715328466</v>
      </c>
      <c r="L211" s="41">
        <f t="shared" si="1"/>
        <v>10041187.598698296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1367182.9368369831</v>
      </c>
      <c r="G215" s="18">
        <v>802387.23647810216</v>
      </c>
      <c r="H215" s="18">
        <v>35121.061003649636</v>
      </c>
      <c r="I215" s="18">
        <v>65630.843381995131</v>
      </c>
      <c r="J215" s="18">
        <v>13986.82</v>
      </c>
      <c r="K215" s="18">
        <v>0</v>
      </c>
      <c r="L215" s="19">
        <f>SUM(F215:K215)</f>
        <v>2284308.8977007302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746166.1411922141</v>
      </c>
      <c r="G216" s="18">
        <v>508384.92065693438</v>
      </c>
      <c r="H216" s="18">
        <v>205678.20139294406</v>
      </c>
      <c r="I216" s="18">
        <v>5716.06</v>
      </c>
      <c r="J216" s="18">
        <v>0</v>
      </c>
      <c r="K216" s="18">
        <v>0</v>
      </c>
      <c r="L216" s="19">
        <f>SUM(F216:K216)</f>
        <v>1465945.3232420925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23755.7</v>
      </c>
      <c r="G218" s="18">
        <v>4377.24</v>
      </c>
      <c r="H218" s="18">
        <v>3904.62</v>
      </c>
      <c r="I218" s="18">
        <v>3000</v>
      </c>
      <c r="J218" s="18">
        <v>1068.58</v>
      </c>
      <c r="K218" s="18">
        <v>150</v>
      </c>
      <c r="L218" s="19">
        <f>SUM(F218:K218)</f>
        <v>36256.14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271000.74277372262</v>
      </c>
      <c r="G220" s="18">
        <v>191573.28718978103</v>
      </c>
      <c r="H220" s="18">
        <v>71570.570717761555</v>
      </c>
      <c r="I220" s="18">
        <v>2540.0100000000002</v>
      </c>
      <c r="J220" s="18">
        <v>0</v>
      </c>
      <c r="K220" s="18">
        <v>3236.7337712895378</v>
      </c>
      <c r="L220" s="19">
        <f t="shared" ref="L220:L226" si="2">SUM(F220:K220)</f>
        <v>539921.34445255483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37536</v>
      </c>
      <c r="G221" s="18">
        <v>32878.950133819948</v>
      </c>
      <c r="H221" s="18">
        <v>16037.554245742092</v>
      </c>
      <c r="I221" s="18">
        <v>2276.3200000000002</v>
      </c>
      <c r="J221" s="18">
        <v>0</v>
      </c>
      <c r="K221" s="18">
        <v>0</v>
      </c>
      <c r="L221" s="19">
        <f t="shared" si="2"/>
        <v>88728.824379562051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796.49939172749396</v>
      </c>
      <c r="G222" s="18">
        <v>149.89634428223846</v>
      </c>
      <c r="H222" s="18">
        <v>233886.33602189782</v>
      </c>
      <c r="I222" s="18">
        <v>1546.1355717761558</v>
      </c>
      <c r="J222" s="18">
        <v>0</v>
      </c>
      <c r="K222" s="18">
        <v>1179.121100973236</v>
      </c>
      <c r="L222" s="19">
        <f t="shared" si="2"/>
        <v>237557.98843065696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195609.60000000001</v>
      </c>
      <c r="G223" s="18">
        <v>91274.58</v>
      </c>
      <c r="H223" s="18">
        <v>2928.3301277372261</v>
      </c>
      <c r="I223" s="18">
        <v>2058.42</v>
      </c>
      <c r="J223" s="18">
        <v>1189.32</v>
      </c>
      <c r="K223" s="18">
        <v>2175.66</v>
      </c>
      <c r="L223" s="19">
        <f t="shared" si="2"/>
        <v>295235.91012773721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159686.62449513384</v>
      </c>
      <c r="G225" s="18">
        <v>67954.659440389296</v>
      </c>
      <c r="H225" s="18">
        <v>106225.57136861313</v>
      </c>
      <c r="I225" s="18">
        <v>100377.09165450122</v>
      </c>
      <c r="J225" s="18">
        <v>0</v>
      </c>
      <c r="K225" s="18">
        <v>0</v>
      </c>
      <c r="L225" s="19">
        <f t="shared" si="2"/>
        <v>434243.94695863751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227898.86482360098</v>
      </c>
      <c r="I226" s="18">
        <v>1036.0670437956205</v>
      </c>
      <c r="J226" s="18">
        <v>0</v>
      </c>
      <c r="K226" s="18">
        <v>0</v>
      </c>
      <c r="L226" s="19">
        <f t="shared" si="2"/>
        <v>228934.9318673966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77087.092299270065</v>
      </c>
      <c r="I227" s="18">
        <v>0</v>
      </c>
      <c r="J227" s="18">
        <v>0</v>
      </c>
      <c r="K227" s="18">
        <v>0</v>
      </c>
      <c r="L227" s="19">
        <f>SUM(F227:K227)</f>
        <v>77087.092299270065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2801734.2446897812</v>
      </c>
      <c r="G229" s="41">
        <f>SUM(G215:G228)</f>
        <v>1698980.770243309</v>
      </c>
      <c r="H229" s="41">
        <f>SUM(H215:H228)</f>
        <v>980338.20200121659</v>
      </c>
      <c r="I229" s="41">
        <f>SUM(I215:I228)</f>
        <v>184180.94765206813</v>
      </c>
      <c r="J229" s="41">
        <f>SUM(J215:J228)</f>
        <v>16244.72</v>
      </c>
      <c r="K229" s="41">
        <f t="shared" si="3"/>
        <v>6741.5148722627737</v>
      </c>
      <c r="L229" s="41">
        <f t="shared" si="3"/>
        <v>5688220.3994586403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1470114.5021167882</v>
      </c>
      <c r="G233" s="18">
        <v>784586.77479927009</v>
      </c>
      <c r="H233" s="18">
        <v>63540.389616788321</v>
      </c>
      <c r="I233" s="18">
        <v>47902.504890510951</v>
      </c>
      <c r="J233" s="18">
        <v>924.08</v>
      </c>
      <c r="K233" s="18">
        <v>0</v>
      </c>
      <c r="L233" s="19">
        <f>SUM(F233:K233)</f>
        <v>2367068.2514233575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718426.33481751825</v>
      </c>
      <c r="G234" s="18">
        <v>372089.65102189779</v>
      </c>
      <c r="H234" s="18">
        <v>1143499.2287408758</v>
      </c>
      <c r="I234" s="18">
        <v>3318.62</v>
      </c>
      <c r="J234" s="18">
        <v>2019.18</v>
      </c>
      <c r="K234" s="18">
        <v>0</v>
      </c>
      <c r="L234" s="19">
        <f>SUM(F234:K234)</f>
        <v>2239353.0145802922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384666.33</v>
      </c>
      <c r="G235" s="18">
        <v>221707.59</v>
      </c>
      <c r="H235" s="18">
        <v>17579.39</v>
      </c>
      <c r="I235" s="18">
        <v>48362.05</v>
      </c>
      <c r="J235" s="18">
        <v>5650</v>
      </c>
      <c r="K235" s="18">
        <v>0</v>
      </c>
      <c r="L235" s="19">
        <f>SUM(F235:K235)</f>
        <v>677965.3600000001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97711</v>
      </c>
      <c r="G236" s="18">
        <v>16445.93</v>
      </c>
      <c r="H236" s="18">
        <v>10076.280000000001</v>
      </c>
      <c r="I236" s="18">
        <v>3774.25</v>
      </c>
      <c r="J236" s="18">
        <v>4164</v>
      </c>
      <c r="K236" s="18">
        <v>4200.28</v>
      </c>
      <c r="L236" s="19">
        <f>SUM(F236:K236)</f>
        <v>136371.74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221081.63875912409</v>
      </c>
      <c r="G238" s="18">
        <v>139737.64507299272</v>
      </c>
      <c r="H238" s="18">
        <v>92688.194635036489</v>
      </c>
      <c r="I238" s="18">
        <v>4153.51</v>
      </c>
      <c r="J238" s="18">
        <v>0</v>
      </c>
      <c r="K238" s="18">
        <v>4502.9140145985402</v>
      </c>
      <c r="L238" s="19">
        <f t="shared" ref="L238:L244" si="4">SUM(F238:K238)</f>
        <v>462163.90248175181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68438.36</v>
      </c>
      <c r="G239" s="18">
        <v>25815.125948905112</v>
      </c>
      <c r="H239" s="18">
        <v>25901.994197080294</v>
      </c>
      <c r="I239" s="18">
        <v>15500.17</v>
      </c>
      <c r="J239" s="18">
        <v>1372.37</v>
      </c>
      <c r="K239" s="18">
        <v>0</v>
      </c>
      <c r="L239" s="19">
        <f t="shared" si="4"/>
        <v>137028.02014598541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1015.0638686131387</v>
      </c>
      <c r="G240" s="18">
        <v>191.02885036496352</v>
      </c>
      <c r="H240" s="18">
        <v>298066.22770072997</v>
      </c>
      <c r="I240" s="18">
        <v>1970.4049635036497</v>
      </c>
      <c r="J240" s="18">
        <v>0</v>
      </c>
      <c r="K240" s="18">
        <v>1502.6793978102189</v>
      </c>
      <c r="L240" s="19">
        <f t="shared" si="4"/>
        <v>302745.40478102193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385971.32</v>
      </c>
      <c r="G241" s="18">
        <v>189788.2</v>
      </c>
      <c r="H241" s="18">
        <v>5676.0115875912406</v>
      </c>
      <c r="I241" s="18">
        <v>24258.17</v>
      </c>
      <c r="J241" s="18">
        <v>13</v>
      </c>
      <c r="K241" s="18">
        <v>6269</v>
      </c>
      <c r="L241" s="19">
        <f t="shared" si="4"/>
        <v>611975.70158759132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236243.24301094888</v>
      </c>
      <c r="G243" s="18">
        <v>119603.22875912409</v>
      </c>
      <c r="H243" s="18">
        <v>571096.0412956205</v>
      </c>
      <c r="I243" s="18">
        <v>305499.86627737223</v>
      </c>
      <c r="J243" s="18">
        <v>0</v>
      </c>
      <c r="K243" s="18">
        <v>0</v>
      </c>
      <c r="L243" s="19">
        <f t="shared" si="4"/>
        <v>1232442.3793430657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354959.69852189778</v>
      </c>
      <c r="I244" s="18">
        <v>1320.3704014598541</v>
      </c>
      <c r="J244" s="18">
        <v>0</v>
      </c>
      <c r="K244" s="18">
        <v>0</v>
      </c>
      <c r="L244" s="19">
        <f t="shared" si="4"/>
        <v>356280.06892335764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98240.278576642333</v>
      </c>
      <c r="I245" s="18">
        <v>0</v>
      </c>
      <c r="J245" s="18">
        <v>0</v>
      </c>
      <c r="K245" s="18">
        <v>0</v>
      </c>
      <c r="L245" s="19">
        <f>SUM(F245:K245)</f>
        <v>98240.278576642333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3583667.7925729924</v>
      </c>
      <c r="G247" s="41">
        <f t="shared" si="5"/>
        <v>1869965.1744525547</v>
      </c>
      <c r="H247" s="41">
        <f t="shared" si="5"/>
        <v>2681323.7348722625</v>
      </c>
      <c r="I247" s="41">
        <f t="shared" si="5"/>
        <v>456059.91653284669</v>
      </c>
      <c r="J247" s="41">
        <f t="shared" si="5"/>
        <v>14142.630000000001</v>
      </c>
      <c r="K247" s="41">
        <f t="shared" si="5"/>
        <v>16474.873412408757</v>
      </c>
      <c r="L247" s="41">
        <f t="shared" si="5"/>
        <v>8621634.1218430661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11191088.85</v>
      </c>
      <c r="G257" s="41">
        <f t="shared" si="8"/>
        <v>6499699.9000000004</v>
      </c>
      <c r="H257" s="41">
        <f t="shared" si="8"/>
        <v>5584284.2799999993</v>
      </c>
      <c r="I257" s="41">
        <f t="shared" si="8"/>
        <v>1005892.1699999999</v>
      </c>
      <c r="J257" s="41">
        <f t="shared" si="8"/>
        <v>35454.19</v>
      </c>
      <c r="K257" s="41">
        <f t="shared" si="8"/>
        <v>34622.729999999996</v>
      </c>
      <c r="L257" s="41">
        <f t="shared" si="8"/>
        <v>24351042.120000001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1620707</v>
      </c>
      <c r="L260" s="19">
        <f>SUM(F260:K260)</f>
        <v>1620707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425937</v>
      </c>
      <c r="L261" s="19">
        <f>SUM(F261:K261)</f>
        <v>425937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2046644</v>
      </c>
      <c r="L270" s="41">
        <f t="shared" si="9"/>
        <v>2046644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11191088.85</v>
      </c>
      <c r="G271" s="42">
        <f t="shared" si="11"/>
        <v>6499699.9000000004</v>
      </c>
      <c r="H271" s="42">
        <f t="shared" si="11"/>
        <v>5584284.2799999993</v>
      </c>
      <c r="I271" s="42">
        <f t="shared" si="11"/>
        <v>1005892.1699999999</v>
      </c>
      <c r="J271" s="42">
        <f t="shared" si="11"/>
        <v>35454.19</v>
      </c>
      <c r="K271" s="42">
        <f t="shared" si="11"/>
        <v>2081266.73</v>
      </c>
      <c r="L271" s="42">
        <f t="shared" si="11"/>
        <v>26397686.120000001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247373.70544658261</v>
      </c>
      <c r="G276" s="18">
        <v>138344.56665737668</v>
      </c>
      <c r="H276" s="18">
        <v>764.40654545454538</v>
      </c>
      <c r="I276" s="18">
        <v>34085.188673523553</v>
      </c>
      <c r="J276" s="18">
        <v>0</v>
      </c>
      <c r="K276" s="18">
        <v>0</v>
      </c>
      <c r="L276" s="19">
        <f>SUM(F276:K276)</f>
        <v>420567.86732293735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630.77</v>
      </c>
      <c r="J278" s="18">
        <v>2085.04</v>
      </c>
      <c r="K278" s="18">
        <v>0</v>
      </c>
      <c r="L278" s="19">
        <f>SUM(F278:K278)</f>
        <v>2715.81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87733.161090909081</v>
      </c>
      <c r="G279" s="18">
        <v>22610.432727272728</v>
      </c>
      <c r="H279" s="18">
        <v>0</v>
      </c>
      <c r="I279" s="18">
        <v>53516.426545454546</v>
      </c>
      <c r="J279" s="18">
        <v>0</v>
      </c>
      <c r="K279" s="18">
        <v>0</v>
      </c>
      <c r="L279" s="19">
        <f>SUM(F279:K279)</f>
        <v>163860.02036363634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2126.0886618004865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2126.0886618004865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38715.657487281569</v>
      </c>
      <c r="G282" s="18">
        <v>5049.804986286219</v>
      </c>
      <c r="H282" s="18">
        <v>92753.96060650298</v>
      </c>
      <c r="I282" s="18">
        <v>0</v>
      </c>
      <c r="J282" s="18">
        <v>0</v>
      </c>
      <c r="K282" s="18">
        <v>0</v>
      </c>
      <c r="L282" s="19">
        <f t="shared" si="12"/>
        <v>136519.42308007076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7866.1113625304124</v>
      </c>
      <c r="G283" s="18">
        <v>2966.8528223844282</v>
      </c>
      <c r="H283" s="18">
        <v>2073.7222506082726</v>
      </c>
      <c r="I283" s="18">
        <v>318.4366788321168</v>
      </c>
      <c r="J283" s="18">
        <v>616.18175182481752</v>
      </c>
      <c r="K283" s="18">
        <v>64.215328467153284</v>
      </c>
      <c r="L283" s="19">
        <f t="shared" si="12"/>
        <v>13905.520194647201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28483.544220305241</v>
      </c>
      <c r="G285" s="18">
        <v>2222.3957750497675</v>
      </c>
      <c r="H285" s="18">
        <v>453.83818181818179</v>
      </c>
      <c r="I285" s="18">
        <v>362.01345454545452</v>
      </c>
      <c r="J285" s="18">
        <v>0</v>
      </c>
      <c r="K285" s="18">
        <v>29460.433651183368</v>
      </c>
      <c r="L285" s="19">
        <f t="shared" si="12"/>
        <v>60982.225282902014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3517.4290510948904</v>
      </c>
      <c r="I287" s="18">
        <v>0</v>
      </c>
      <c r="J287" s="18">
        <v>0</v>
      </c>
      <c r="K287" s="18">
        <v>0</v>
      </c>
      <c r="L287" s="19">
        <f t="shared" si="12"/>
        <v>3517.4290510948904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410172.17960760888</v>
      </c>
      <c r="G290" s="42">
        <f t="shared" si="13"/>
        <v>171194.05296836983</v>
      </c>
      <c r="H290" s="42">
        <f t="shared" si="13"/>
        <v>101689.44529727937</v>
      </c>
      <c r="I290" s="42">
        <f t="shared" si="13"/>
        <v>88912.835352355673</v>
      </c>
      <c r="J290" s="42">
        <f t="shared" si="13"/>
        <v>2701.2217518248176</v>
      </c>
      <c r="K290" s="42">
        <f t="shared" si="13"/>
        <v>29524.648979650523</v>
      </c>
      <c r="L290" s="41">
        <f t="shared" si="13"/>
        <v>804194.38395708916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155763.90630524221</v>
      </c>
      <c r="G295" s="18">
        <v>88341.497053085594</v>
      </c>
      <c r="H295" s="18">
        <v>3472.1334545454547</v>
      </c>
      <c r="I295" s="18">
        <v>21384.200651293959</v>
      </c>
      <c r="J295" s="18">
        <v>0</v>
      </c>
      <c r="K295" s="18">
        <v>0</v>
      </c>
      <c r="L295" s="19">
        <f>SUM(F295:K295)</f>
        <v>268961.73746416724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54188.128909090912</v>
      </c>
      <c r="G298" s="18">
        <v>13965.267272727275</v>
      </c>
      <c r="H298" s="18">
        <v>0</v>
      </c>
      <c r="I298" s="18">
        <v>33054.263454545457</v>
      </c>
      <c r="J298" s="18">
        <v>0</v>
      </c>
      <c r="K298" s="18">
        <v>0</v>
      </c>
      <c r="L298" s="19">
        <f>SUM(F298:K298)</f>
        <v>101207.65963636365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1313.1724087591242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1313.1724087591242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23912.611977438617</v>
      </c>
      <c r="G301" s="18">
        <v>3118.9971974120767</v>
      </c>
      <c r="H301" s="18">
        <v>57289.210962840087</v>
      </c>
      <c r="I301" s="18">
        <v>0</v>
      </c>
      <c r="J301" s="18">
        <v>0</v>
      </c>
      <c r="K301" s="18">
        <v>0</v>
      </c>
      <c r="L301" s="19">
        <f t="shared" si="14"/>
        <v>84320.820137690782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4858.4805474452551</v>
      </c>
      <c r="G302" s="18">
        <v>1832.4679197080293</v>
      </c>
      <c r="H302" s="18">
        <v>1280.8284489051096</v>
      </c>
      <c r="I302" s="18">
        <v>196.6814781021898</v>
      </c>
      <c r="J302" s="18">
        <v>380.58284671532851</v>
      </c>
      <c r="K302" s="18">
        <v>39.662408759124091</v>
      </c>
      <c r="L302" s="19">
        <f t="shared" si="14"/>
        <v>8588.7036496350356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17592.777312541475</v>
      </c>
      <c r="G304" s="18">
        <v>1372.6562140013273</v>
      </c>
      <c r="H304" s="18">
        <v>280.31181818181818</v>
      </c>
      <c r="I304" s="18">
        <v>223.59654545454546</v>
      </c>
      <c r="J304" s="18">
        <v>0</v>
      </c>
      <c r="K304" s="18">
        <v>18472.75225514267</v>
      </c>
      <c r="L304" s="19">
        <f t="shared" si="14"/>
        <v>37942.094145321833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2172.5297080291971</v>
      </c>
      <c r="I306" s="18">
        <v>0</v>
      </c>
      <c r="J306" s="18">
        <v>0</v>
      </c>
      <c r="K306" s="18">
        <v>0</v>
      </c>
      <c r="L306" s="19">
        <f t="shared" si="14"/>
        <v>2172.5297080291971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256315.90505175845</v>
      </c>
      <c r="G309" s="42">
        <f t="shared" si="15"/>
        <v>108630.88565693429</v>
      </c>
      <c r="H309" s="42">
        <f t="shared" si="15"/>
        <v>65808.186801260788</v>
      </c>
      <c r="I309" s="42">
        <f t="shared" si="15"/>
        <v>54858.742129396152</v>
      </c>
      <c r="J309" s="42">
        <f t="shared" si="15"/>
        <v>380.58284671532851</v>
      </c>
      <c r="K309" s="42">
        <f t="shared" si="15"/>
        <v>18512.414663901793</v>
      </c>
      <c r="L309" s="41">
        <f t="shared" si="15"/>
        <v>504506.7171499668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1213.7682481751824</v>
      </c>
      <c r="G314" s="18">
        <v>242.42628953771288</v>
      </c>
      <c r="H314" s="18">
        <v>0</v>
      </c>
      <c r="I314" s="18">
        <v>2200.0506751824814</v>
      </c>
      <c r="J314" s="18">
        <v>0</v>
      </c>
      <c r="K314" s="18">
        <v>0</v>
      </c>
      <c r="L314" s="19">
        <f>SUM(F314:K314)</f>
        <v>3656.2452128953764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27419.57</v>
      </c>
      <c r="G316" s="18">
        <v>15060.98</v>
      </c>
      <c r="H316" s="18">
        <v>12455.2</v>
      </c>
      <c r="I316" s="18">
        <v>5486.42</v>
      </c>
      <c r="J316" s="18">
        <v>35747.78</v>
      </c>
      <c r="K316" s="18">
        <v>1280</v>
      </c>
      <c r="L316" s="19">
        <f>SUM(F316:K316)</f>
        <v>97449.95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1200</v>
      </c>
      <c r="G319" s="18">
        <v>261.83999999999997</v>
      </c>
      <c r="H319" s="18">
        <v>1030.4189294403893</v>
      </c>
      <c r="I319" s="18">
        <v>0</v>
      </c>
      <c r="J319" s="18">
        <v>0</v>
      </c>
      <c r="K319" s="18">
        <v>3156.82</v>
      </c>
      <c r="L319" s="19">
        <f t="shared" ref="L319:L325" si="16">SUM(F319:K319)</f>
        <v>5649.0789294403894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18381.730535279807</v>
      </c>
      <c r="G320" s="18">
        <v>2372.4178163017032</v>
      </c>
      <c r="H320" s="18">
        <v>10790.918430656935</v>
      </c>
      <c r="I320" s="18">
        <v>0</v>
      </c>
      <c r="J320" s="18">
        <v>0</v>
      </c>
      <c r="K320" s="18">
        <v>0</v>
      </c>
      <c r="L320" s="19">
        <f t="shared" si="16"/>
        <v>31545.066782238442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3812.3480900243308</v>
      </c>
      <c r="G321" s="18">
        <v>1437.8992579075425</v>
      </c>
      <c r="H321" s="18">
        <v>1005.039300486618</v>
      </c>
      <c r="I321" s="18">
        <v>154.33184306569345</v>
      </c>
      <c r="J321" s="18">
        <v>298.63540145985405</v>
      </c>
      <c r="K321" s="18">
        <v>31.122262773722628</v>
      </c>
      <c r="L321" s="19">
        <f t="shared" si="16"/>
        <v>6739.3761557177613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1571.3284671532847</v>
      </c>
      <c r="G323" s="18">
        <v>120.2080109489051</v>
      </c>
      <c r="H323" s="18">
        <v>0</v>
      </c>
      <c r="I323" s="18">
        <v>0</v>
      </c>
      <c r="J323" s="18">
        <v>0</v>
      </c>
      <c r="K323" s="18">
        <v>6580.1940936739657</v>
      </c>
      <c r="L323" s="19">
        <f t="shared" si="16"/>
        <v>8271.7305717761556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156.4412408759124</v>
      </c>
      <c r="I325" s="18">
        <v>0</v>
      </c>
      <c r="J325" s="18">
        <v>0</v>
      </c>
      <c r="K325" s="18">
        <v>0</v>
      </c>
      <c r="L325" s="19">
        <f t="shared" si="16"/>
        <v>156.4412408759124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53598.745340632602</v>
      </c>
      <c r="G328" s="42">
        <f t="shared" si="17"/>
        <v>19495.771374695862</v>
      </c>
      <c r="H328" s="42">
        <f t="shared" si="17"/>
        <v>25438.017901459854</v>
      </c>
      <c r="I328" s="42">
        <f t="shared" si="17"/>
        <v>7840.8025182481751</v>
      </c>
      <c r="J328" s="42">
        <f t="shared" si="17"/>
        <v>36046.415401459853</v>
      </c>
      <c r="K328" s="42">
        <f t="shared" si="17"/>
        <v>11048.136356447689</v>
      </c>
      <c r="L328" s="41">
        <f t="shared" si="17"/>
        <v>153467.88889294406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720086.83</v>
      </c>
      <c r="G338" s="41">
        <f t="shared" si="20"/>
        <v>299320.71000000002</v>
      </c>
      <c r="H338" s="41">
        <f t="shared" si="20"/>
        <v>192935.65</v>
      </c>
      <c r="I338" s="41">
        <f t="shared" si="20"/>
        <v>151612.38</v>
      </c>
      <c r="J338" s="41">
        <f t="shared" si="20"/>
        <v>39128.22</v>
      </c>
      <c r="K338" s="41">
        <f t="shared" si="20"/>
        <v>59085.200000000012</v>
      </c>
      <c r="L338" s="41">
        <f t="shared" si="20"/>
        <v>1462168.99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720086.83</v>
      </c>
      <c r="G352" s="41">
        <f>G338</f>
        <v>299320.71000000002</v>
      </c>
      <c r="H352" s="41">
        <f>H338</f>
        <v>192935.65</v>
      </c>
      <c r="I352" s="41">
        <f>I338</f>
        <v>151612.38</v>
      </c>
      <c r="J352" s="41">
        <f>J338</f>
        <v>39128.22</v>
      </c>
      <c r="K352" s="47">
        <f>K338+K351</f>
        <v>59085.200000000012</v>
      </c>
      <c r="L352" s="41">
        <f>L338+L351</f>
        <v>1462168.99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311995.16788321169</v>
      </c>
      <c r="I358" s="18">
        <v>41076.189287104622</v>
      </c>
      <c r="J358" s="18">
        <v>0</v>
      </c>
      <c r="K358" s="18">
        <v>0</v>
      </c>
      <c r="L358" s="13">
        <f>SUM(F358:K358)</f>
        <v>353071.35717031633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151209.93430656934</v>
      </c>
      <c r="I359" s="18">
        <v>474.10732968369831</v>
      </c>
      <c r="J359" s="18">
        <v>0</v>
      </c>
      <c r="K359" s="18">
        <v>0</v>
      </c>
      <c r="L359" s="19">
        <f>SUM(F359:K359)</f>
        <v>151684.04163625304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192702.89781021897</v>
      </c>
      <c r="I360" s="18">
        <v>604.20538321167885</v>
      </c>
      <c r="J360" s="18">
        <v>0</v>
      </c>
      <c r="K360" s="18">
        <v>0</v>
      </c>
      <c r="L360" s="19">
        <f>SUM(F360:K360)</f>
        <v>193307.10319343064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655908</v>
      </c>
      <c r="I362" s="47">
        <f t="shared" si="22"/>
        <v>42154.502</v>
      </c>
      <c r="J362" s="47">
        <f t="shared" si="22"/>
        <v>0</v>
      </c>
      <c r="K362" s="47">
        <f t="shared" si="22"/>
        <v>0</v>
      </c>
      <c r="L362" s="47">
        <f t="shared" si="22"/>
        <v>698062.50200000009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f>I358</f>
        <v>41076.189287104622</v>
      </c>
      <c r="G368" s="18">
        <f>I359</f>
        <v>474.10732968369831</v>
      </c>
      <c r="H368" s="18">
        <f>I360</f>
        <v>604.20538321167885</v>
      </c>
      <c r="I368" s="56">
        <f>SUM(F368:H368)</f>
        <v>42154.502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41076.189287104622</v>
      </c>
      <c r="G369" s="47">
        <f>SUM(G367:G368)</f>
        <v>474.10732968369831</v>
      </c>
      <c r="H369" s="47">
        <f>SUM(H367:H368)</f>
        <v>604.20538321167885</v>
      </c>
      <c r="I369" s="47">
        <f>SUM(I367:I368)</f>
        <v>42154.502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f>451996+16880.77+4004.5</f>
        <v>472881.27</v>
      </c>
      <c r="I376" s="18">
        <v>0</v>
      </c>
      <c r="J376" s="18">
        <v>0</v>
      </c>
      <c r="K376" s="18">
        <v>0</v>
      </c>
      <c r="L376" s="13">
        <f t="shared" si="23"/>
        <v>472881.27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f>3275923.45</f>
        <v>3275923.45</v>
      </c>
      <c r="I378" s="18">
        <v>0</v>
      </c>
      <c r="J378" s="18">
        <v>0</v>
      </c>
      <c r="K378" s="18">
        <v>0</v>
      </c>
      <c r="L378" s="13">
        <f t="shared" si="23"/>
        <v>3275923.45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f>348587.92</f>
        <v>348587.92</v>
      </c>
      <c r="I379" s="18">
        <v>0</v>
      </c>
      <c r="J379" s="18">
        <v>0</v>
      </c>
      <c r="K379" s="18">
        <v>0</v>
      </c>
      <c r="L379" s="13">
        <f t="shared" si="23"/>
        <v>348587.92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914.42</v>
      </c>
      <c r="G380" s="18">
        <f>69.94+102.14</f>
        <v>172.07999999999998</v>
      </c>
      <c r="H380" s="18">
        <f>98.91+270+121221.2+15481.48+18784.89</f>
        <v>155856.47999999998</v>
      </c>
      <c r="I380" s="18">
        <v>0</v>
      </c>
      <c r="J380" s="18">
        <v>0</v>
      </c>
      <c r="K380" s="18">
        <v>0</v>
      </c>
      <c r="L380" s="13">
        <f t="shared" si="23"/>
        <v>156942.97999999998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914.42</v>
      </c>
      <c r="G382" s="138">
        <f t="shared" ref="G382:L382" si="24">SUM(G374:G381)</f>
        <v>172.07999999999998</v>
      </c>
      <c r="H382" s="138">
        <f t="shared" si="24"/>
        <v>4253249.12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4254335.62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f>J193</f>
        <v>93115.16</v>
      </c>
      <c r="J400" s="24" t="s">
        <v>289</v>
      </c>
      <c r="K400" s="24" t="s">
        <v>289</v>
      </c>
      <c r="L400" s="56">
        <f t="shared" si="26"/>
        <v>93115.16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93115.16</v>
      </c>
      <c r="J401" s="45" t="s">
        <v>289</v>
      </c>
      <c r="K401" s="45" t="s">
        <v>289</v>
      </c>
      <c r="L401" s="47">
        <f>SUM(L395:L400)</f>
        <v>93115.16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93115.16</v>
      </c>
      <c r="J408" s="24" t="s">
        <v>289</v>
      </c>
      <c r="K408" s="24" t="s">
        <v>289</v>
      </c>
      <c r="L408" s="47">
        <f>L393+L401+L407</f>
        <v>93115.16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f>61288.57+2088</f>
        <v>63376.57</v>
      </c>
      <c r="G426" s="18">
        <f>73.52+21.44+24.78+4687.96+3316.93+159.74+327.19</f>
        <v>8611.56</v>
      </c>
      <c r="H426" s="18">
        <f>66+493.27+130+54+142+725+2862+2668+2243+540+132+2009+2792+2180+2487+1573+2166+149.6+429.1</f>
        <v>23840.969999999998</v>
      </c>
      <c r="I426" s="18">
        <f>1028.73+2035.83+11024.17</f>
        <v>14088.73</v>
      </c>
      <c r="J426" s="18">
        <v>0</v>
      </c>
      <c r="K426" s="18">
        <v>0</v>
      </c>
      <c r="L426" s="56">
        <f t="shared" si="29"/>
        <v>109917.83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63376.57</v>
      </c>
      <c r="G427" s="47">
        <f t="shared" si="30"/>
        <v>8611.56</v>
      </c>
      <c r="H427" s="47">
        <f t="shared" si="30"/>
        <v>23840.969999999998</v>
      </c>
      <c r="I427" s="47">
        <f t="shared" si="30"/>
        <v>14088.73</v>
      </c>
      <c r="J427" s="47">
        <f t="shared" si="30"/>
        <v>0</v>
      </c>
      <c r="K427" s="47">
        <f t="shared" si="30"/>
        <v>0</v>
      </c>
      <c r="L427" s="47">
        <f t="shared" si="30"/>
        <v>109917.83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63376.57</v>
      </c>
      <c r="G434" s="47">
        <f t="shared" si="32"/>
        <v>8611.56</v>
      </c>
      <c r="H434" s="47">
        <f t="shared" si="32"/>
        <v>23840.969999999998</v>
      </c>
      <c r="I434" s="47">
        <f t="shared" si="32"/>
        <v>14088.73</v>
      </c>
      <c r="J434" s="47">
        <f t="shared" si="32"/>
        <v>0</v>
      </c>
      <c r="K434" s="47">
        <f t="shared" si="32"/>
        <v>0</v>
      </c>
      <c r="L434" s="47">
        <f t="shared" si="32"/>
        <v>109917.83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126195.2</v>
      </c>
      <c r="I442" s="56">
        <f t="shared" si="33"/>
        <v>126195.2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126195.2</v>
      </c>
      <c r="I446" s="13">
        <f>SUM(I439:I445)</f>
        <v>126195.2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50.54</v>
      </c>
      <c r="I449" s="56">
        <f>SUM(F449:H449)</f>
        <v>50.54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50.54</v>
      </c>
      <c r="I452" s="71">
        <f>SUM(I448:I451)</f>
        <v>50.54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v>0</v>
      </c>
      <c r="H459" s="18">
        <f>142947.33-16802.67</f>
        <v>126144.65999999999</v>
      </c>
      <c r="I459" s="56">
        <f t="shared" si="34"/>
        <v>126144.65999999999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0</v>
      </c>
      <c r="G460" s="82">
        <f>SUM(G454:G459)</f>
        <v>0</v>
      </c>
      <c r="H460" s="82">
        <f>SUM(H454:H459)</f>
        <v>126144.65999999999</v>
      </c>
      <c r="I460" s="82">
        <f>SUM(I454:I459)</f>
        <v>126144.65999999999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0</v>
      </c>
      <c r="G461" s="42">
        <f>G452+G460</f>
        <v>0</v>
      </c>
      <c r="H461" s="42">
        <f>H452+H460</f>
        <v>126195.19999999998</v>
      </c>
      <c r="I461" s="42">
        <f>I452+I460</f>
        <v>126195.19999999998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907</v>
      </c>
      <c r="B465" s="104">
        <v>19</v>
      </c>
      <c r="C465" s="110">
        <v>1</v>
      </c>
      <c r="D465" s="2" t="s">
        <v>433</v>
      </c>
      <c r="E465" s="110"/>
      <c r="F465" s="18">
        <v>0</v>
      </c>
      <c r="G465" s="18">
        <v>52169</v>
      </c>
      <c r="H465" s="18">
        <v>74599.289999999994</v>
      </c>
      <c r="I465" s="18"/>
      <c r="J465" s="18">
        <v>142947.32999999999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F193</f>
        <v>26397686.119999997</v>
      </c>
      <c r="G468" s="18">
        <f t="shared" ref="G468:J468" si="35">G193</f>
        <v>740430.14</v>
      </c>
      <c r="H468" s="18">
        <f t="shared" si="35"/>
        <v>1458627.0299999998</v>
      </c>
      <c r="I468" s="18">
        <f t="shared" si="35"/>
        <v>3297284.97</v>
      </c>
      <c r="J468" s="18">
        <f t="shared" si="35"/>
        <v>93115.16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26397686.119999997</v>
      </c>
      <c r="G470" s="53">
        <f>SUM(G468:G469)</f>
        <v>740430.14</v>
      </c>
      <c r="H470" s="53">
        <f>SUM(H468:H469)</f>
        <v>1458627.0299999998</v>
      </c>
      <c r="I470" s="53">
        <f>SUM(I468:I469)</f>
        <v>3297284.97</v>
      </c>
      <c r="J470" s="53">
        <f>SUM(J468:J469)</f>
        <v>93115.16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L271</f>
        <v>26397686.120000001</v>
      </c>
      <c r="G472" s="18">
        <f>L362</f>
        <v>698062.50200000009</v>
      </c>
      <c r="H472" s="18">
        <f>L352</f>
        <v>1462168.99</v>
      </c>
      <c r="I472" s="18">
        <f>L382</f>
        <v>4254335.62</v>
      </c>
      <c r="J472" s="18">
        <f>L434</f>
        <v>109917.83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26397686.120000001</v>
      </c>
      <c r="G474" s="53">
        <f>SUM(G472:G473)</f>
        <v>698062.50200000009</v>
      </c>
      <c r="H474" s="53">
        <f>SUM(H472:H473)</f>
        <v>1462168.99</v>
      </c>
      <c r="I474" s="53">
        <f>SUM(I472:I473)</f>
        <v>4254335.62</v>
      </c>
      <c r="J474" s="53">
        <f>SUM(J472:J473)</f>
        <v>109917.83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908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0</v>
      </c>
      <c r="G476" s="53">
        <f>(G465+G470)- G474</f>
        <v>94536.637999999919</v>
      </c>
      <c r="H476" s="53">
        <f>(H465+H470)- H474</f>
        <v>71057.329999999842</v>
      </c>
      <c r="I476" s="53">
        <f>(I465+I470)- I474</f>
        <v>-957050.64999999991</v>
      </c>
      <c r="J476" s="53">
        <f>(J465+J470)- J474</f>
        <v>126144.65999999999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909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1</v>
      </c>
      <c r="G490" s="152">
        <v>2</v>
      </c>
      <c r="H490" s="152">
        <v>3</v>
      </c>
      <c r="I490" s="152">
        <v>4</v>
      </c>
      <c r="J490" s="152">
        <v>5</v>
      </c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912</v>
      </c>
      <c r="G491" s="153" t="s">
        <v>912</v>
      </c>
      <c r="H491" s="153" t="s">
        <v>913</v>
      </c>
      <c r="I491" s="153" t="s">
        <v>914</v>
      </c>
      <c r="J491" s="153" t="s">
        <v>915</v>
      </c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912</v>
      </c>
      <c r="G492" s="153" t="s">
        <v>912</v>
      </c>
      <c r="H492" s="153" t="s">
        <v>916</v>
      </c>
      <c r="I492" s="153" t="s">
        <v>917</v>
      </c>
      <c r="J492" s="153" t="s">
        <v>918</v>
      </c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5300000</v>
      </c>
      <c r="G493" s="18">
        <v>310000</v>
      </c>
      <c r="H493" s="18">
        <v>1338545</v>
      </c>
      <c r="I493" s="18">
        <v>18953000</v>
      </c>
      <c r="J493" s="18">
        <f>617700+459000+105000</f>
        <v>1181700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5.63</v>
      </c>
      <c r="G494" s="18">
        <v>5.2</v>
      </c>
      <c r="H494" s="18">
        <v>3.68</v>
      </c>
      <c r="I494" s="18">
        <v>3.73</v>
      </c>
      <c r="J494" s="18">
        <v>3.1429999999999998</v>
      </c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530000</v>
      </c>
      <c r="G495" s="18">
        <v>75000</v>
      </c>
      <c r="H495" s="18">
        <v>530000</v>
      </c>
      <c r="I495" s="18">
        <v>13715943</v>
      </c>
      <c r="J495" s="18">
        <v>1098000</v>
      </c>
      <c r="K495" s="53">
        <f>SUM(F495:J495)</f>
        <v>15948943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265000</v>
      </c>
      <c r="G497" s="18">
        <v>15000</v>
      </c>
      <c r="H497" s="18">
        <v>135000</v>
      </c>
      <c r="I497" s="18">
        <v>1118857</v>
      </c>
      <c r="J497" s="18">
        <f>41250+30600+15000</f>
        <v>86850</v>
      </c>
      <c r="K497" s="53">
        <f t="shared" si="36"/>
        <v>1620707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f>F495-F497</f>
        <v>265000</v>
      </c>
      <c r="G498" s="202">
        <f>G495-G497</f>
        <v>60000</v>
      </c>
      <c r="H498" s="202">
        <f>H495-H497</f>
        <v>395000</v>
      </c>
      <c r="I498" s="202">
        <f>I495-I497</f>
        <v>12597086</v>
      </c>
      <c r="J498" s="202">
        <f>J495-J497</f>
        <v>1011150</v>
      </c>
      <c r="K498" s="203">
        <f t="shared" si="36"/>
        <v>14328236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265000</v>
      </c>
      <c r="G500" s="42">
        <f>SUM(G498:G499)</f>
        <v>60000</v>
      </c>
      <c r="H500" s="42">
        <f>SUM(H498:H499)</f>
        <v>395000</v>
      </c>
      <c r="I500" s="42">
        <f>SUM(I498:I499)</f>
        <v>12597086</v>
      </c>
      <c r="J500" s="42">
        <f>SUM(J498:J499)</f>
        <v>1011150</v>
      </c>
      <c r="K500" s="42">
        <f t="shared" si="36"/>
        <v>14328236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265000</v>
      </c>
      <c r="G501" s="202">
        <v>15000</v>
      </c>
      <c r="H501" s="202">
        <v>135000</v>
      </c>
      <c r="I501" s="202">
        <v>1118857</v>
      </c>
      <c r="J501" s="202">
        <f>41250+30600+15000</f>
        <v>86850</v>
      </c>
      <c r="K501" s="203">
        <f t="shared" si="36"/>
        <v>1620707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7619</v>
      </c>
      <c r="G502" s="18">
        <v>2756</v>
      </c>
      <c r="H502" s="18">
        <v>17194</v>
      </c>
      <c r="I502" s="18">
        <v>360961</v>
      </c>
      <c r="J502" s="18">
        <f>26285+18926+4335</f>
        <v>49546</v>
      </c>
      <c r="K502" s="53">
        <f t="shared" si="36"/>
        <v>438076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272619</v>
      </c>
      <c r="G503" s="42">
        <f>SUM(G501:G502)</f>
        <v>17756</v>
      </c>
      <c r="H503" s="42">
        <f>SUM(H501:H502)</f>
        <v>152194</v>
      </c>
      <c r="I503" s="42">
        <f>SUM(I501:I502)</f>
        <v>1479818</v>
      </c>
      <c r="J503" s="42">
        <f>SUM(J501:J502)</f>
        <v>136396</v>
      </c>
      <c r="K503" s="42">
        <f t="shared" si="36"/>
        <v>2058783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910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1692544.2994368502</v>
      </c>
      <c r="G521" s="18">
        <v>1186703.5649785444</v>
      </c>
      <c r="H521" s="18">
        <v>322464.13641163456</v>
      </c>
      <c r="I521" s="18">
        <v>55961.13867352355</v>
      </c>
      <c r="J521" s="18">
        <v>2085.04</v>
      </c>
      <c r="K521" s="18">
        <v>0</v>
      </c>
      <c r="L521" s="87">
        <f>SUM(F521:K521)</f>
        <v>3259758.1795005528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901930.04749745631</v>
      </c>
      <c r="G522" s="18">
        <v>596726.41771001997</v>
      </c>
      <c r="H522" s="18">
        <v>209150.33484748949</v>
      </c>
      <c r="I522" s="18">
        <v>26501.26065129396</v>
      </c>
      <c r="J522" s="18">
        <v>245.47</v>
      </c>
      <c r="K522" s="18">
        <v>0</v>
      </c>
      <c r="L522" s="87">
        <f>SUM(F522:K522)</f>
        <v>1734553.5307062594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719640.1030656934</v>
      </c>
      <c r="G523" s="18">
        <v>372332.07731143554</v>
      </c>
      <c r="H523" s="18">
        <v>1143499.2287408758</v>
      </c>
      <c r="I523" s="18">
        <v>5518.6706751824813</v>
      </c>
      <c r="J523" s="18">
        <v>1773.71</v>
      </c>
      <c r="K523" s="18">
        <v>0</v>
      </c>
      <c r="L523" s="87">
        <f>SUM(F523:K523)</f>
        <v>2242763.7897931873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3314114.4499999997</v>
      </c>
      <c r="G524" s="107">
        <f t="shared" ref="G524:L524" si="37">SUM(G521:G523)</f>
        <v>2155762.06</v>
      </c>
      <c r="H524" s="107">
        <f t="shared" si="37"/>
        <v>1675113.7</v>
      </c>
      <c r="I524" s="107">
        <f t="shared" si="37"/>
        <v>87981.069999999992</v>
      </c>
      <c r="J524" s="107">
        <f t="shared" si="37"/>
        <v>4104.2199999999993</v>
      </c>
      <c r="K524" s="107">
        <f t="shared" si="37"/>
        <v>0</v>
      </c>
      <c r="L524" s="88">
        <f t="shared" si="37"/>
        <v>7237075.5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321627.29994072102</v>
      </c>
      <c r="G526" s="18">
        <v>119945.24053594338</v>
      </c>
      <c r="H526" s="18">
        <v>258873.03893983629</v>
      </c>
      <c r="I526" s="18">
        <v>54874.733224286669</v>
      </c>
      <c r="J526" s="18">
        <v>616.18175182481752</v>
      </c>
      <c r="K526" s="18">
        <v>6742.647542579075</v>
      </c>
      <c r="L526" s="87">
        <f>SUM(F526:K526)</f>
        <v>762679.14193519123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168818.85143397478</v>
      </c>
      <c r="G527" s="18">
        <v>85351.72238984736</v>
      </c>
      <c r="H527" s="18">
        <v>114477.61775724398</v>
      </c>
      <c r="I527" s="18">
        <v>33250.944932647646</v>
      </c>
      <c r="J527" s="18">
        <v>380.58284671532851</v>
      </c>
      <c r="K527" s="18">
        <v>3276.3961800486618</v>
      </c>
      <c r="L527" s="87">
        <f>SUM(F527:K527)</f>
        <v>405556.11554047774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50813.648625304137</v>
      </c>
      <c r="G528" s="18">
        <v>19133.137074209244</v>
      </c>
      <c r="H528" s="18">
        <v>94925.213302919699</v>
      </c>
      <c r="I528" s="18">
        <v>5640.7518430656937</v>
      </c>
      <c r="J528" s="18">
        <v>36046.415401459853</v>
      </c>
      <c r="K528" s="18">
        <v>8592.8562773722624</v>
      </c>
      <c r="L528" s="87">
        <f>SUM(F528:K528)</f>
        <v>215152.02252433088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541259.79999999993</v>
      </c>
      <c r="G529" s="88">
        <f t="shared" ref="G529:L529" si="38">SUM(G526:G528)</f>
        <v>224430.1</v>
      </c>
      <c r="H529" s="88">
        <f t="shared" si="38"/>
        <v>468275.86999999994</v>
      </c>
      <c r="I529" s="88">
        <f t="shared" si="38"/>
        <v>93766.430000000008</v>
      </c>
      <c r="J529" s="88">
        <f t="shared" si="38"/>
        <v>37043.18</v>
      </c>
      <c r="K529" s="88">
        <f t="shared" si="38"/>
        <v>18611.900000000001</v>
      </c>
      <c r="L529" s="88">
        <f t="shared" si="38"/>
        <v>1383387.2799999998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92453.64286561645</v>
      </c>
      <c r="G531" s="18">
        <v>32120.612089236016</v>
      </c>
      <c r="H531" s="18">
        <v>453.83818181818179</v>
      </c>
      <c r="I531" s="18">
        <v>466.00045454545455</v>
      </c>
      <c r="J531" s="18">
        <v>0</v>
      </c>
      <c r="K531" s="18">
        <v>29460.433651183368</v>
      </c>
      <c r="L531" s="87">
        <f>SUM(F531:K531)</f>
        <v>154954.52724239946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48345.625888721719</v>
      </c>
      <c r="G532" s="18">
        <v>16294.507269086478</v>
      </c>
      <c r="H532" s="18">
        <v>280.31181818181818</v>
      </c>
      <c r="I532" s="18">
        <v>223.59654545454546</v>
      </c>
      <c r="J532" s="18">
        <v>0</v>
      </c>
      <c r="K532" s="18">
        <v>18472.75225514267</v>
      </c>
      <c r="L532" s="87">
        <f>SUM(F532:K532)</f>
        <v>83616.793776587234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39544.483512786683</v>
      </c>
      <c r="G533" s="18">
        <v>18958.738616769821</v>
      </c>
      <c r="H533" s="18">
        <v>0</v>
      </c>
      <c r="I533" s="18">
        <v>0</v>
      </c>
      <c r="J533" s="18">
        <v>0</v>
      </c>
      <c r="K533" s="18">
        <v>6580.1940936739657</v>
      </c>
      <c r="L533" s="87">
        <f>SUM(F533:K533)</f>
        <v>65083.416223230466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180343.75226712486</v>
      </c>
      <c r="G534" s="88">
        <f t="shared" ref="G534:L534" si="39">SUM(G531:G533)</f>
        <v>67373.857975092309</v>
      </c>
      <c r="H534" s="88">
        <f t="shared" si="39"/>
        <v>734.15</v>
      </c>
      <c r="I534" s="88">
        <f t="shared" si="39"/>
        <v>689.59699999999998</v>
      </c>
      <c r="J534" s="88">
        <f t="shared" si="39"/>
        <v>0</v>
      </c>
      <c r="K534" s="88">
        <f t="shared" si="39"/>
        <v>54513.38</v>
      </c>
      <c r="L534" s="88">
        <f t="shared" si="39"/>
        <v>303654.73724221718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5930.0620194647199</v>
      </c>
      <c r="I536" s="18">
        <v>0</v>
      </c>
      <c r="J536" s="18">
        <v>0</v>
      </c>
      <c r="K536" s="18">
        <v>0</v>
      </c>
      <c r="L536" s="87">
        <f>SUM(F536:K536)</f>
        <v>5930.0620194647199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2874.0326155717762</v>
      </c>
      <c r="I537" s="18">
        <v>0</v>
      </c>
      <c r="J537" s="18">
        <v>0</v>
      </c>
      <c r="K537" s="18">
        <v>0</v>
      </c>
      <c r="L537" s="87">
        <f>SUM(F537:K537)</f>
        <v>2874.0326155717762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3662.6853649635041</v>
      </c>
      <c r="I538" s="18">
        <v>0</v>
      </c>
      <c r="J538" s="18">
        <v>0</v>
      </c>
      <c r="K538" s="18">
        <v>0</v>
      </c>
      <c r="L538" s="87">
        <f>SUM(F538:K538)</f>
        <v>3662.6853649635041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12466.779999999999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12466.779999999999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230896.08239659364</v>
      </c>
      <c r="I541" s="18">
        <v>0</v>
      </c>
      <c r="J541" s="18">
        <v>0</v>
      </c>
      <c r="K541" s="18">
        <v>0</v>
      </c>
      <c r="L541" s="87">
        <f>SUM(F541:K541)</f>
        <v>230896.08239659364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112372.66988442822</v>
      </c>
      <c r="I542" s="18">
        <v>0</v>
      </c>
      <c r="J542" s="18">
        <v>0</v>
      </c>
      <c r="K542" s="18">
        <v>0</v>
      </c>
      <c r="L542" s="87">
        <f>SUM(F542:K542)</f>
        <v>112372.66988442822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140596.1977189781</v>
      </c>
      <c r="I543" s="18">
        <v>0</v>
      </c>
      <c r="J543" s="18">
        <v>0</v>
      </c>
      <c r="K543" s="18">
        <v>0</v>
      </c>
      <c r="L543" s="87">
        <f>SUM(F543:K543)</f>
        <v>140596.1977189781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483864.94999999995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483864.94999999995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4035718.0022671246</v>
      </c>
      <c r="G545" s="88">
        <f t="shared" ref="G545:L545" si="42">G524+G529+G534+G539+G544</f>
        <v>2447566.0179750924</v>
      </c>
      <c r="H545" s="88">
        <f t="shared" si="42"/>
        <v>2640455.4499999993</v>
      </c>
      <c r="I545" s="88">
        <f t="shared" si="42"/>
        <v>182437.09700000001</v>
      </c>
      <c r="J545" s="88">
        <f t="shared" si="42"/>
        <v>41147.4</v>
      </c>
      <c r="K545" s="88">
        <f t="shared" si="42"/>
        <v>73125.279999999999</v>
      </c>
      <c r="L545" s="88">
        <f t="shared" si="42"/>
        <v>9420449.2472422142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3259758.1795005528</v>
      </c>
      <c r="G549" s="86">
        <f>L526</f>
        <v>762679.14193519123</v>
      </c>
      <c r="H549" s="86">
        <f>L531</f>
        <v>154954.52724239946</v>
      </c>
      <c r="I549" s="86">
        <f>L536</f>
        <v>5930.0620194647199</v>
      </c>
      <c r="J549" s="86">
        <f>L541</f>
        <v>230896.08239659364</v>
      </c>
      <c r="K549" s="86">
        <f>SUM(F549:J549)</f>
        <v>4414217.9930942012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1734553.5307062594</v>
      </c>
      <c r="G550" s="86">
        <f>L527</f>
        <v>405556.11554047774</v>
      </c>
      <c r="H550" s="86">
        <f>L532</f>
        <v>83616.793776587234</v>
      </c>
      <c r="I550" s="86">
        <f>L537</f>
        <v>2874.0326155717762</v>
      </c>
      <c r="J550" s="86">
        <f>L542</f>
        <v>112372.66988442822</v>
      </c>
      <c r="K550" s="86">
        <f>SUM(F550:J550)</f>
        <v>2338973.1425233246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2242763.7897931873</v>
      </c>
      <c r="G551" s="86">
        <f>L528</f>
        <v>215152.02252433088</v>
      </c>
      <c r="H551" s="86">
        <f>L533</f>
        <v>65083.416223230466</v>
      </c>
      <c r="I551" s="86">
        <f>L538</f>
        <v>3662.6853649635041</v>
      </c>
      <c r="J551" s="86">
        <f>L543</f>
        <v>140596.1977189781</v>
      </c>
      <c r="K551" s="86">
        <f>SUM(F551:J551)</f>
        <v>2667258.1116246898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3">SUM(F549:F551)</f>
        <v>7237075.5</v>
      </c>
      <c r="G552" s="88">
        <f t="shared" si="43"/>
        <v>1383387.2799999998</v>
      </c>
      <c r="H552" s="88">
        <f t="shared" si="43"/>
        <v>303654.73724221718</v>
      </c>
      <c r="I552" s="88">
        <f t="shared" si="43"/>
        <v>12466.779999999999</v>
      </c>
      <c r="J552" s="88">
        <f t="shared" si="43"/>
        <v>483864.94999999995</v>
      </c>
      <c r="K552" s="88">
        <f t="shared" si="43"/>
        <v>9420449.247242216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1352039.8439902677</v>
      </c>
      <c r="G557" s="18">
        <v>988029.1483211678</v>
      </c>
      <c r="H557" s="18">
        <v>320730.97986618005</v>
      </c>
      <c r="I557" s="18">
        <v>21672.100000000002</v>
      </c>
      <c r="J557" s="18">
        <v>2085.04</v>
      </c>
      <c r="K557" s="18">
        <v>0</v>
      </c>
      <c r="L557" s="87">
        <f>SUM(F557:K557)</f>
        <v>2684557.112177616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720176.54119221412</v>
      </c>
      <c r="G558" s="18">
        <v>501531.02065693442</v>
      </c>
      <c r="H558" s="18">
        <v>201005.95139294403</v>
      </c>
      <c r="I558" s="18">
        <v>3828.06</v>
      </c>
      <c r="J558" s="18">
        <v>245.47</v>
      </c>
      <c r="K558" s="18">
        <v>0</v>
      </c>
      <c r="L558" s="87">
        <f>SUM(F558:K558)</f>
        <v>1426787.0432420925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718426.33481751825</v>
      </c>
      <c r="G559" s="18">
        <v>371160.89102189784</v>
      </c>
      <c r="H559" s="18">
        <v>1143499.2287408758</v>
      </c>
      <c r="I559" s="18">
        <v>3318.62</v>
      </c>
      <c r="J559" s="18">
        <v>1773.71</v>
      </c>
      <c r="K559" s="18">
        <v>0</v>
      </c>
      <c r="L559" s="87">
        <f>SUM(F559:K559)</f>
        <v>2238178.7845802922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4">SUM(F557:F559)</f>
        <v>2790642.7199999997</v>
      </c>
      <c r="G560" s="107">
        <f t="shared" si="44"/>
        <v>1860721.06</v>
      </c>
      <c r="H560" s="107">
        <f t="shared" si="44"/>
        <v>1665236.16</v>
      </c>
      <c r="I560" s="107">
        <f t="shared" si="44"/>
        <v>28818.780000000002</v>
      </c>
      <c r="J560" s="107">
        <f t="shared" si="44"/>
        <v>4104.2199999999993</v>
      </c>
      <c r="K560" s="107">
        <f t="shared" si="44"/>
        <v>0</v>
      </c>
      <c r="L560" s="88">
        <f t="shared" si="44"/>
        <v>6349522.9400000004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93130.75</v>
      </c>
      <c r="G562" s="18">
        <v>60329.849999999991</v>
      </c>
      <c r="H562" s="18">
        <v>118.75</v>
      </c>
      <c r="I562" s="18">
        <v>203.85</v>
      </c>
      <c r="J562" s="18">
        <v>0</v>
      </c>
      <c r="K562" s="18">
        <v>0</v>
      </c>
      <c r="L562" s="87">
        <f>SUM(F562:K562)</f>
        <v>153783.19999999998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25989.599999999999</v>
      </c>
      <c r="G563" s="18">
        <v>6853.9</v>
      </c>
      <c r="H563" s="18">
        <v>0</v>
      </c>
      <c r="I563" s="18">
        <v>169</v>
      </c>
      <c r="J563" s="18">
        <v>0</v>
      </c>
      <c r="K563" s="18">
        <v>0</v>
      </c>
      <c r="L563" s="87">
        <f>SUM(F563:K563)</f>
        <v>33012.5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0</v>
      </c>
      <c r="G564" s="18">
        <v>928.76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928.76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5">SUM(F562:F564)</f>
        <v>119120.35</v>
      </c>
      <c r="G565" s="88">
        <f t="shared" si="45"/>
        <v>68112.50999999998</v>
      </c>
      <c r="H565" s="88">
        <f t="shared" si="45"/>
        <v>118.75</v>
      </c>
      <c r="I565" s="88">
        <f t="shared" si="45"/>
        <v>372.85</v>
      </c>
      <c r="J565" s="88">
        <f t="shared" si="45"/>
        <v>0</v>
      </c>
      <c r="K565" s="88">
        <f t="shared" si="45"/>
        <v>0</v>
      </c>
      <c r="L565" s="88">
        <f t="shared" si="45"/>
        <v>187724.46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850</v>
      </c>
      <c r="I567" s="18">
        <v>0</v>
      </c>
      <c r="J567" s="18">
        <v>0</v>
      </c>
      <c r="K567" s="18">
        <v>0</v>
      </c>
      <c r="L567" s="87">
        <f>SUM(F567:K567)</f>
        <v>850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4672.25</v>
      </c>
      <c r="I568" s="18">
        <v>1120</v>
      </c>
      <c r="J568" s="18">
        <v>0</v>
      </c>
      <c r="K568" s="18">
        <v>0</v>
      </c>
      <c r="L568" s="87">
        <f>SUM(F568:K568)</f>
        <v>5792.25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5522.25</v>
      </c>
      <c r="I570" s="191">
        <f t="shared" si="46"/>
        <v>1120</v>
      </c>
      <c r="J570" s="191">
        <f t="shared" si="46"/>
        <v>0</v>
      </c>
      <c r="K570" s="191">
        <f t="shared" si="46"/>
        <v>0</v>
      </c>
      <c r="L570" s="191">
        <f t="shared" si="46"/>
        <v>6642.25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2909763.07</v>
      </c>
      <c r="G571" s="88">
        <f t="shared" ref="G571:L571" si="47">G560+G565+G570</f>
        <v>1928833.57</v>
      </c>
      <c r="H571" s="88">
        <f t="shared" si="47"/>
        <v>1670877.16</v>
      </c>
      <c r="I571" s="88">
        <f t="shared" si="47"/>
        <v>30311.63</v>
      </c>
      <c r="J571" s="88">
        <f t="shared" si="47"/>
        <v>4104.2199999999993</v>
      </c>
      <c r="K571" s="88">
        <f t="shared" si="47"/>
        <v>0</v>
      </c>
      <c r="L571" s="88">
        <f t="shared" si="47"/>
        <v>6543889.6500000004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0</v>
      </c>
      <c r="H579" s="18">
        <v>5070.75</v>
      </c>
      <c r="I579" s="86">
        <f t="shared" si="48"/>
        <v>5070.75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244496.83737226276</v>
      </c>
      <c r="G582" s="18">
        <v>178459.50189781023</v>
      </c>
      <c r="H582" s="18">
        <v>1089465.890729927</v>
      </c>
      <c r="I582" s="86">
        <f t="shared" si="48"/>
        <v>1512422.23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13029.62</v>
      </c>
      <c r="I584" s="86">
        <f t="shared" si="48"/>
        <v>13029.62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232502.36586374696</v>
      </c>
      <c r="I591" s="18">
        <v>112683.37169099756</v>
      </c>
      <c r="J591" s="18">
        <v>143604.40244525549</v>
      </c>
      <c r="K591" s="103">
        <f t="shared" ref="K591:K597" si="49">SUM(H591:J591)</f>
        <v>488790.14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227378.65334549875</v>
      </c>
      <c r="I592" s="18">
        <v>110200.14017639903</v>
      </c>
      <c r="J592" s="18">
        <v>140439.75647810218</v>
      </c>
      <c r="K592" s="103">
        <f t="shared" si="49"/>
        <v>478018.54999999993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42303</v>
      </c>
      <c r="K593" s="103">
        <f t="shared" si="49"/>
        <v>42303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5042.7</v>
      </c>
      <c r="J594" s="18">
        <v>29932.91</v>
      </c>
      <c r="K594" s="103">
        <f t="shared" si="49"/>
        <v>34975.61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0</v>
      </c>
      <c r="I595" s="18">
        <v>1008.72</v>
      </c>
      <c r="J595" s="18">
        <v>0</v>
      </c>
      <c r="K595" s="103">
        <f t="shared" si="49"/>
        <v>1008.72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459881.01920924569</v>
      </c>
      <c r="I598" s="107">
        <f>SUM(I591:I597)</f>
        <v>228934.9318673966</v>
      </c>
      <c r="J598" s="107">
        <f>SUM(J591:J597)</f>
        <v>356280.06892335764</v>
      </c>
      <c r="K598" s="107">
        <f>SUM(K591:K597)</f>
        <v>1045096.0199999999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f>J211+J290</f>
        <v>7768.0617518248182</v>
      </c>
      <c r="I604" s="18">
        <f>J229+J309</f>
        <v>16625.302846715327</v>
      </c>
      <c r="J604" s="18">
        <f>J247+J328</f>
        <v>50189.045401459851</v>
      </c>
      <c r="K604" s="103">
        <f>SUM(H604:J604)</f>
        <v>74582.41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7768.0617518248182</v>
      </c>
      <c r="I605" s="107">
        <f>SUM(I602:I604)</f>
        <v>16625.302846715327</v>
      </c>
      <c r="J605" s="107">
        <f>SUM(J602:J604)</f>
        <v>50189.045401459851</v>
      </c>
      <c r="K605" s="107">
        <f>SUM(K602:K604)</f>
        <v>74582.41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63129.601308273137</v>
      </c>
      <c r="G611" s="18">
        <v>13207.401453629831</v>
      </c>
      <c r="H611" s="18">
        <v>0</v>
      </c>
      <c r="I611" s="18">
        <v>5298.6909979126976</v>
      </c>
      <c r="J611" s="18">
        <v>0</v>
      </c>
      <c r="K611" s="18">
        <v>0</v>
      </c>
      <c r="L611" s="87">
        <f>SUM(F611:K611)</f>
        <v>81635.693759815666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30596.059969099126</v>
      </c>
      <c r="G612" s="18">
        <v>6401.0296047643305</v>
      </c>
      <c r="H612" s="18">
        <v>0</v>
      </c>
      <c r="I612" s="18">
        <v>2568.0356626712437</v>
      </c>
      <c r="J612" s="18">
        <v>0</v>
      </c>
      <c r="K612" s="18">
        <v>0</v>
      </c>
      <c r="L612" s="87">
        <f>SUM(F612:K612)</f>
        <v>39565.125236534703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30663.078722627739</v>
      </c>
      <c r="G613" s="18">
        <v>6499.9989416058397</v>
      </c>
      <c r="H613" s="18">
        <v>0</v>
      </c>
      <c r="I613" s="18">
        <v>2249.3433394160584</v>
      </c>
      <c r="J613" s="18">
        <v>0</v>
      </c>
      <c r="K613" s="18">
        <v>0</v>
      </c>
      <c r="L613" s="87">
        <f>SUM(F613:K613)</f>
        <v>39412.421003649637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50">SUM(F611:F613)</f>
        <v>124388.73999999999</v>
      </c>
      <c r="G614" s="107">
        <f t="shared" si="50"/>
        <v>26108.43</v>
      </c>
      <c r="H614" s="107">
        <f t="shared" si="50"/>
        <v>0</v>
      </c>
      <c r="I614" s="107">
        <f t="shared" si="50"/>
        <v>10116.07</v>
      </c>
      <c r="J614" s="107">
        <f t="shared" si="50"/>
        <v>0</v>
      </c>
      <c r="K614" s="107">
        <f t="shared" si="50"/>
        <v>0</v>
      </c>
      <c r="L614" s="88">
        <f t="shared" si="50"/>
        <v>160613.24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289424.03999999998</v>
      </c>
      <c r="H617" s="108">
        <f>SUM(F52)</f>
        <v>289424.03999999998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101968.88999999998</v>
      </c>
      <c r="H618" s="108">
        <f>SUM(G52)</f>
        <v>101968.89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288816.01</v>
      </c>
      <c r="H619" s="108">
        <f>SUM(H52)</f>
        <v>288816.01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2333904.1900000004</v>
      </c>
      <c r="H620" s="108">
        <f>SUM(I52)</f>
        <v>2333904.19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126195.2</v>
      </c>
      <c r="H621" s="108">
        <f>SUM(J52)</f>
        <v>126195.19999999998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1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94536.639999999999</v>
      </c>
      <c r="H623" s="108">
        <f>G476</f>
        <v>94536.637999999919</v>
      </c>
      <c r="I623" s="120" t="s">
        <v>102</v>
      </c>
      <c r="J623" s="108">
        <f t="shared" si="51"/>
        <v>2.0000000804429874E-3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71057.329999999987</v>
      </c>
      <c r="H624" s="108">
        <f>H476</f>
        <v>71057.329999999842</v>
      </c>
      <c r="I624" s="120" t="s">
        <v>103</v>
      </c>
      <c r="J624" s="108">
        <f t="shared" si="51"/>
        <v>1.4551915228366852E-10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-957050.65</v>
      </c>
      <c r="H625" s="108">
        <f>I476</f>
        <v>-957050.64999999991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126144.65999999999</v>
      </c>
      <c r="H626" s="108">
        <f>J476</f>
        <v>126144.65999999999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26397686.119999997</v>
      </c>
      <c r="H627" s="103">
        <f>SUM(F468)</f>
        <v>26397686.119999997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740430.14</v>
      </c>
      <c r="H628" s="103">
        <f>SUM(G468)</f>
        <v>740430.14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1458627.0299999998</v>
      </c>
      <c r="H629" s="103">
        <f>SUM(H468)</f>
        <v>1458627.0299999998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3297284.97</v>
      </c>
      <c r="H630" s="103">
        <f>SUM(I468)</f>
        <v>3297284.97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93115.16</v>
      </c>
      <c r="H631" s="103">
        <f>SUM(J468)</f>
        <v>93115.16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26397686.120000001</v>
      </c>
      <c r="H632" s="103">
        <f>SUM(F472)</f>
        <v>26397686.120000001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1462168.99</v>
      </c>
      <c r="H633" s="103">
        <f>SUM(H472)</f>
        <v>1462168.99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42154.502</v>
      </c>
      <c r="H634" s="103">
        <f>I369</f>
        <v>42154.502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698062.50200000009</v>
      </c>
      <c r="H635" s="103">
        <f>SUM(G472)</f>
        <v>698062.50200000009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4254335.62</v>
      </c>
      <c r="H636" s="103">
        <f>SUM(I472)</f>
        <v>4254335.62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93115.16</v>
      </c>
      <c r="H637" s="162">
        <f>SUM(J468)</f>
        <v>93115.16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109917.83</v>
      </c>
      <c r="H638" s="162">
        <f>SUM(J472)</f>
        <v>109917.83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0</v>
      </c>
      <c r="H639" s="103">
        <f>SUM(F461)</f>
        <v>0</v>
      </c>
      <c r="I639" s="139" t="s">
        <v>857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126195.2</v>
      </c>
      <c r="H641" s="103">
        <f>SUM(H461)</f>
        <v>126195.19999999998</v>
      </c>
      <c r="I641" s="139" t="s">
        <v>859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126195.2</v>
      </c>
      <c r="H642" s="103">
        <f>SUM(I461)</f>
        <v>126195.19999999998</v>
      </c>
      <c r="I642" s="139" t="s">
        <v>860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0</v>
      </c>
      <c r="H644" s="103">
        <f>H408</f>
        <v>0</v>
      </c>
      <c r="I644" s="139" t="s">
        <v>481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93115.16</v>
      </c>
      <c r="H646" s="103">
        <f>L408</f>
        <v>93115.16</v>
      </c>
      <c r="I646" s="139" t="s">
        <v>478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1045096.0199999999</v>
      </c>
      <c r="H647" s="103">
        <f>L208+L226+L244</f>
        <v>1045096.02</v>
      </c>
      <c r="I647" s="139" t="s">
        <v>397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74582.41</v>
      </c>
      <c r="H648" s="103">
        <f>(J257+J338)-(J255+J336)</f>
        <v>74582.41</v>
      </c>
      <c r="I648" s="139" t="s">
        <v>703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459881.01920924574</v>
      </c>
      <c r="H649" s="103">
        <f>H598</f>
        <v>459881.01920924569</v>
      </c>
      <c r="I649" s="139" t="s">
        <v>389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228934.9318673966</v>
      </c>
      <c r="H650" s="103">
        <f>I598</f>
        <v>228934.9318673966</v>
      </c>
      <c r="I650" s="139" t="s">
        <v>390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356280.06892335764</v>
      </c>
      <c r="H651" s="103">
        <f>J598</f>
        <v>356280.06892335764</v>
      </c>
      <c r="I651" s="139" t="s">
        <v>391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0</v>
      </c>
      <c r="H652" s="103">
        <f>K263+K345</f>
        <v>0</v>
      </c>
      <c r="I652" s="139" t="s">
        <v>398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2.0000040531158447E-3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11198453.339825701</v>
      </c>
      <c r="G660" s="19">
        <f>(L229+L309+L359)</f>
        <v>6344411.1582448594</v>
      </c>
      <c r="H660" s="19">
        <f>(L247+L328+L360)</f>
        <v>8968409.1139294412</v>
      </c>
      <c r="I660" s="19">
        <f>SUM(F660:H660)</f>
        <v>26511273.612000003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154610.62524953051</v>
      </c>
      <c r="G661" s="19">
        <f>(L359/IF(SUM(L358:L360)=0,1,SUM(L358:L360))*(SUM(G97:G110)))</f>
        <v>66422.733086343302</v>
      </c>
      <c r="H661" s="19">
        <f>(L360/IF(SUM(L358:L360)=0,1,SUM(L358:L360))*(SUM(G97:G110)))</f>
        <v>84649.551664126164</v>
      </c>
      <c r="I661" s="19">
        <f>SUM(F661:H661)</f>
        <v>305682.90999999997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463398.44826034061</v>
      </c>
      <c r="G662" s="19">
        <f>(L226+L306)-(J226+J306)</f>
        <v>231107.46157542581</v>
      </c>
      <c r="H662" s="19">
        <f>(L244+L325)-(J244+J325)</f>
        <v>356436.51016423356</v>
      </c>
      <c r="I662" s="19">
        <f>SUM(F662:H662)</f>
        <v>1050942.42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333900.59288390324</v>
      </c>
      <c r="G663" s="197">
        <f>SUM(G575:G587)+SUM(I602:I604)+L612</f>
        <v>234649.92998106027</v>
      </c>
      <c r="H663" s="197">
        <f>SUM(H575:H587)+SUM(J602:J604)+L613</f>
        <v>1197167.7271350366</v>
      </c>
      <c r="I663" s="19">
        <f>SUM(F663:H663)</f>
        <v>1765718.25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10246543.673431927</v>
      </c>
      <c r="G664" s="19">
        <f>G660-SUM(G661:G663)</f>
        <v>5812231.03360203</v>
      </c>
      <c r="H664" s="19">
        <f>H660-SUM(H661:H663)</f>
        <v>7330155.3249660451</v>
      </c>
      <c r="I664" s="19">
        <f>I660-SUM(I661:I663)</f>
        <v>23388930.032000005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701.27</v>
      </c>
      <c r="G665" s="246">
        <v>372.57</v>
      </c>
      <c r="H665" s="246">
        <v>474.4</v>
      </c>
      <c r="I665" s="19">
        <f>SUM(F665:H665)</f>
        <v>1548.2399999999998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14611.41</v>
      </c>
      <c r="G667" s="19">
        <f>ROUND(G664/G665,2)</f>
        <v>15600.37</v>
      </c>
      <c r="H667" s="19">
        <f>ROUND(H664/H665,2)</f>
        <v>15451.42</v>
      </c>
      <c r="I667" s="19">
        <f>ROUND(I664/I665,2)</f>
        <v>15106.79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-0.68</v>
      </c>
      <c r="I670" s="19">
        <f>SUM(F670:H670)</f>
        <v>-0.68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14611.41</v>
      </c>
      <c r="G672" s="19">
        <f>ROUND((G664+G669)/(G665+G670),2)</f>
        <v>15600.37</v>
      </c>
      <c r="H672" s="19">
        <f>ROUND((H664+H669)/(H665+H670),2)</f>
        <v>15473.6</v>
      </c>
      <c r="I672" s="19">
        <f>ROUND((I664+I669)/(I665+I670),2)</f>
        <v>15113.42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" workbookViewId="0">
      <selection activeCell="E16" sqref="E1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Somersworth</v>
      </c>
      <c r="C1" s="236" t="s">
        <v>839</v>
      </c>
    </row>
    <row r="2" spans="1:3" x14ac:dyDescent="0.2">
      <c r="A2" s="231"/>
      <c r="B2" s="230"/>
    </row>
    <row r="3" spans="1:3" x14ac:dyDescent="0.2">
      <c r="A3" s="276" t="s">
        <v>784</v>
      </c>
      <c r="B3" s="276"/>
      <c r="C3" s="276"/>
    </row>
    <row r="4" spans="1:3" x14ac:dyDescent="0.2">
      <c r="A4" s="234"/>
      <c r="B4" s="235" t="str">
        <f>'DOE25'!H1</f>
        <v>DOE 25  2015-2016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783</v>
      </c>
      <c r="C6" s="275"/>
    </row>
    <row r="7" spans="1:3" x14ac:dyDescent="0.2">
      <c r="A7" s="237" t="s">
        <v>786</v>
      </c>
      <c r="B7" s="273" t="s">
        <v>782</v>
      </c>
      <c r="C7" s="274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5403257.9400000004</v>
      </c>
      <c r="C9" s="227">
        <f>'DOE25'!G197+'DOE25'!G215+'DOE25'!G233+'DOE25'!G276+'DOE25'!G295+'DOE25'!G314</f>
        <v>3114650.09</v>
      </c>
    </row>
    <row r="10" spans="1:3" x14ac:dyDescent="0.2">
      <c r="A10" t="s">
        <v>779</v>
      </c>
      <c r="B10" s="238">
        <f>679412.3+1211782.24+1250922.58+1300570.14+20335+404351.38+220749.6</f>
        <v>5088123.2399999993</v>
      </c>
      <c r="C10" s="238">
        <f>195942.18+401348.08+383648.55+343446.49+9386.95+12343.13+20586.45+14548.18+1371.2+2033.93+2365.68+2489.31+1459.49+2434.7+2639.49+987.82+49223.13+88033.95+90360.06+95201.16+1555.66+102723.64+189886.29+195951.11+191686.36+2954.52+148033.38+8863.1+17396.4+28506.65+226928.49</f>
        <v>2834335.5299999993</v>
      </c>
    </row>
    <row r="11" spans="1:3" x14ac:dyDescent="0.2">
      <c r="A11" t="s">
        <v>780</v>
      </c>
      <c r="B11" s="238">
        <f>1000+11275</f>
        <v>12275</v>
      </c>
      <c r="C11" s="238">
        <f>11817+2408.5+8920+1718.92+1802.01+663.92+165.98+56.14+13.87+14.04+18.8+4.7+4.7+535.52+76.5+133.88+853.2+111.7+1655.28</f>
        <v>30974.659999999996</v>
      </c>
    </row>
    <row r="12" spans="1:3" x14ac:dyDescent="0.2">
      <c r="A12" t="s">
        <v>781</v>
      </c>
      <c r="B12" s="238">
        <f>70011.6+77936.31+57390.96+94520.83+3000</f>
        <v>302859.7</v>
      </c>
      <c r="C12" s="238">
        <f>5336.63+5904.84+4333.19+7127.14+229.5+249.32+557.63+935.33+1958.7+50000+16387.61+20163.41+136156.6</f>
        <v>249339.90000000002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5403257.9399999995</v>
      </c>
      <c r="C13" s="229">
        <f>SUM(C10:C12)</f>
        <v>3114650.0899999994</v>
      </c>
    </row>
    <row r="14" spans="1:3" x14ac:dyDescent="0.2">
      <c r="B14" s="228"/>
      <c r="C14" s="228"/>
    </row>
    <row r="15" spans="1:3" x14ac:dyDescent="0.2">
      <c r="B15" s="275" t="s">
        <v>783</v>
      </c>
      <c r="C15" s="275"/>
    </row>
    <row r="16" spans="1:3" x14ac:dyDescent="0.2">
      <c r="A16" s="237" t="s">
        <v>787</v>
      </c>
      <c r="B16" s="273" t="s">
        <v>707</v>
      </c>
      <c r="C16" s="274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2909763.0700000003</v>
      </c>
      <c r="C18" s="227">
        <f>'DOE25'!G198+'DOE25'!G216+'DOE25'!G234+'DOE25'!G277+'DOE25'!G296+'DOE25'!G315</f>
        <v>1928833.57</v>
      </c>
    </row>
    <row r="19" spans="1:3" x14ac:dyDescent="0.2">
      <c r="A19" t="s">
        <v>779</v>
      </c>
      <c r="B19" s="238">
        <f>106122+127127.87+209536+248902.92+322169+84033.74+119120.35</f>
        <v>1217011.8800000001</v>
      </c>
      <c r="C19" s="238">
        <f>29635.72+4817+28184.92+60824.34+89894.26+85472.7+953.46+532.78+1791.81+2968.28+3946.12+237.49+171.2+279.74+356.8+506.82+645.01+180.8+318.63+399.25+537.04+651.61+7441.77+8879.01+15044.66+17484.95+1414.08+21072.92+6428.76+16629.35+18826.14+32834.12+39028.71+2997.23+50484.3+11185.28+68112.51</f>
        <v>631169.57000000007</v>
      </c>
    </row>
    <row r="20" spans="1:3" x14ac:dyDescent="0.2">
      <c r="A20" t="s">
        <v>780</v>
      </c>
      <c r="B20" s="238">
        <f>29219+366552.05-250.95+494707.11+462052.21+278652.07+21819.7</f>
        <v>1652751.19</v>
      </c>
      <c r="C20" s="238">
        <f>19963.02+249274.52+293855.03+245440.64+96017.43+2676+19246.76+638.6+110.28+10469.36+165.98+12987.17+13949.25+5451.64+777.19+70.4+9.73+2.85+55.81+1105.5+28.61+1514.27+9.28+1554.89+23.66+864.63+20.74+70.4+47+6.36+12.05+18.8+854.13+14.07+1107.06+1230.96+7.83+572.49+12.53+47+1797.81+486.52+24000.51+34943.53+33331.62+20897.79+1385.94+2411.25+1055.48+40929.66+53904.72+51688.42+31126.45+2437.38</f>
        <v>1280681</v>
      </c>
    </row>
    <row r="21" spans="1:3" x14ac:dyDescent="0.2">
      <c r="A21" t="s">
        <v>781</v>
      </c>
      <c r="B21" s="238">
        <v>40000</v>
      </c>
      <c r="C21" s="238">
        <f>8628+498+173+156+3060+4468</f>
        <v>16983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2909763.0700000003</v>
      </c>
      <c r="C22" s="229">
        <f>SUM(C19:C21)</f>
        <v>1928833.57</v>
      </c>
    </row>
    <row r="23" spans="1:3" x14ac:dyDescent="0.2">
      <c r="B23" s="228"/>
      <c r="C23" s="228"/>
    </row>
    <row r="24" spans="1:3" x14ac:dyDescent="0.2">
      <c r="B24" s="275" t="s">
        <v>783</v>
      </c>
      <c r="C24" s="275"/>
    </row>
    <row r="25" spans="1:3" x14ac:dyDescent="0.2">
      <c r="A25" s="237" t="s">
        <v>788</v>
      </c>
      <c r="B25" s="273" t="s">
        <v>708</v>
      </c>
      <c r="C25" s="274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412085.9</v>
      </c>
      <c r="C27" s="232">
        <f>'DOE25'!G199+'DOE25'!G217+'DOE25'!G235+'DOE25'!G278+'DOE25'!G297+'DOE25'!G316</f>
        <v>236768.57</v>
      </c>
    </row>
    <row r="28" spans="1:3" x14ac:dyDescent="0.2">
      <c r="A28" t="s">
        <v>779</v>
      </c>
      <c r="B28" s="238">
        <v>362767.43</v>
      </c>
      <c r="C28" s="238">
        <f>127161.12+6475.35+627.25+695.95+25528.09+56871.07</f>
        <v>217358.83000000002</v>
      </c>
    </row>
    <row r="29" spans="1:3" x14ac:dyDescent="0.2">
      <c r="A29" t="s">
        <v>780</v>
      </c>
      <c r="B29" s="238">
        <f>21898.9+27419.57</f>
        <v>49318.47</v>
      </c>
      <c r="C29" s="238">
        <f>76.46+50.38+1675.27+2546.65+15060.98</f>
        <v>19409.739999999998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412085.9</v>
      </c>
      <c r="C31" s="229">
        <f>SUM(C28:C30)</f>
        <v>236768.57</v>
      </c>
    </row>
    <row r="33" spans="1:3" x14ac:dyDescent="0.2">
      <c r="B33" s="275" t="s">
        <v>783</v>
      </c>
      <c r="C33" s="275"/>
    </row>
    <row r="34" spans="1:3" x14ac:dyDescent="0.2">
      <c r="A34" s="237" t="s">
        <v>789</v>
      </c>
      <c r="B34" s="273" t="s">
        <v>709</v>
      </c>
      <c r="C34" s="274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263387.99</v>
      </c>
      <c r="C36" s="233">
        <f>'DOE25'!G200+'DOE25'!G218+'DOE25'!G236+'DOE25'!G279+'DOE25'!G298+'DOE25'!G317</f>
        <v>57398.869999999995</v>
      </c>
    </row>
    <row r="37" spans="1:3" x14ac:dyDescent="0.2">
      <c r="A37" t="s">
        <v>779</v>
      </c>
      <c r="B37" s="238">
        <f>30044.7+91422+20020</f>
        <v>141486.70000000001</v>
      </c>
      <c r="C37" s="238">
        <f>6378.67+14444.5+3984.21</f>
        <v>24807.379999999997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f>121901.29</f>
        <v>121901.29</v>
      </c>
      <c r="C39" s="238">
        <v>32591.49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263387.99</v>
      </c>
      <c r="C40" s="229">
        <f>SUM(C37:C39)</f>
        <v>57398.869999999995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717</v>
      </c>
      <c r="B2" s="263" t="str">
        <f>'DOE25'!A2</f>
        <v>Somersworth</v>
      </c>
      <c r="C2" s="179"/>
      <c r="D2" s="179" t="s">
        <v>792</v>
      </c>
      <c r="E2" s="179" t="s">
        <v>794</v>
      </c>
      <c r="F2" s="277" t="s">
        <v>821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15642010.270000003</v>
      </c>
      <c r="D5" s="20">
        <f>SUM('DOE25'!L197:L200)+SUM('DOE25'!L215:L218)+SUM('DOE25'!L233:L236)-F5-G5</f>
        <v>15604780.490000004</v>
      </c>
      <c r="E5" s="241"/>
      <c r="F5" s="253">
        <f>SUM('DOE25'!J197:J200)+SUM('DOE25'!J215:J218)+SUM('DOE25'!J233:J236)</f>
        <v>32879.5</v>
      </c>
      <c r="G5" s="53">
        <f>SUM('DOE25'!K197:K200)+SUM('DOE25'!K215:K218)+SUM('DOE25'!K233:K236)</f>
        <v>4350.28</v>
      </c>
      <c r="H5" s="257"/>
    </row>
    <row r="6" spans="1:9" x14ac:dyDescent="0.2">
      <c r="A6" s="32">
        <v>2100</v>
      </c>
      <c r="B6" t="s">
        <v>801</v>
      </c>
      <c r="C6" s="243">
        <f t="shared" si="0"/>
        <v>1875529.93</v>
      </c>
      <c r="D6" s="20">
        <f>'DOE25'!L202+'DOE25'!L220+'DOE25'!L238-F6-G6</f>
        <v>1861111.8499999999</v>
      </c>
      <c r="E6" s="241"/>
      <c r="F6" s="253">
        <f>'DOE25'!J202+'DOE25'!J220+'DOE25'!J238</f>
        <v>0</v>
      </c>
      <c r="G6" s="53">
        <f>'DOE25'!K202+'DOE25'!K220+'DOE25'!K238</f>
        <v>14418.08</v>
      </c>
      <c r="H6" s="257"/>
    </row>
    <row r="7" spans="1:9" x14ac:dyDescent="0.2">
      <c r="A7" s="32">
        <v>2200</v>
      </c>
      <c r="B7" t="s">
        <v>834</v>
      </c>
      <c r="C7" s="243">
        <f t="shared" si="0"/>
        <v>349273.56000000006</v>
      </c>
      <c r="D7" s="20">
        <f>'DOE25'!L203+'DOE25'!L221+'DOE25'!L239-F7-G7</f>
        <v>347901.19000000006</v>
      </c>
      <c r="E7" s="241"/>
      <c r="F7" s="253">
        <f>'DOE25'!J203+'DOE25'!J221+'DOE25'!J239</f>
        <v>1372.37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802</v>
      </c>
      <c r="C8" s="243">
        <f t="shared" si="0"/>
        <v>721716.02865577186</v>
      </c>
      <c r="D8" s="241"/>
      <c r="E8" s="20">
        <f>'DOE25'!L204+'DOE25'!L222+'DOE25'!L240-F8-G8-D9-D11</f>
        <v>716601.3186557719</v>
      </c>
      <c r="F8" s="253">
        <f>'DOE25'!J204+'DOE25'!J222+'DOE25'!J240</f>
        <v>0</v>
      </c>
      <c r="G8" s="53">
        <f>'DOE25'!K204+'DOE25'!K222+'DOE25'!K240</f>
        <v>5114.71</v>
      </c>
      <c r="H8" s="257"/>
    </row>
    <row r="9" spans="1:9" x14ac:dyDescent="0.2">
      <c r="A9" s="32">
        <v>2310</v>
      </c>
      <c r="B9" t="s">
        <v>818</v>
      </c>
      <c r="C9" s="243">
        <f t="shared" si="0"/>
        <v>25135.719999999998</v>
      </c>
      <c r="D9" s="242">
        <f>21030.51+4105.21</f>
        <v>25135.719999999998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-81.88</v>
      </c>
      <c r="D10" s="241"/>
      <c r="E10" s="242">
        <v>-81.88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283610.87134422798</v>
      </c>
      <c r="D11" s="242">
        <v>283610.87134422798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1465327.13</v>
      </c>
      <c r="D12" s="20">
        <f>'DOE25'!L205+'DOE25'!L223+'DOE25'!L241-F12-G12</f>
        <v>1453385.15</v>
      </c>
      <c r="E12" s="241"/>
      <c r="F12" s="253">
        <f>'DOE25'!J205+'DOE25'!J223+'DOE25'!J241</f>
        <v>1202.32</v>
      </c>
      <c r="G12" s="53">
        <f>'DOE25'!K205+'DOE25'!K223+'DOE25'!K241</f>
        <v>10739.66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2608959.5300000003</v>
      </c>
      <c r="D14" s="20">
        <f>'DOE25'!L207+'DOE25'!L225+'DOE25'!L243-F14-G14</f>
        <v>2608959.5300000003</v>
      </c>
      <c r="E14" s="241"/>
      <c r="F14" s="253">
        <f>'DOE25'!J207+'DOE25'!J225+'DOE25'!J243</f>
        <v>0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1045096.02</v>
      </c>
      <c r="D15" s="20">
        <f>'DOE25'!L208+'DOE25'!L226+'DOE25'!L244-F15-G15</f>
        <v>1045096.02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334383.05999999994</v>
      </c>
      <c r="D16" s="241"/>
      <c r="E16" s="20">
        <f>'DOE25'!L209+'DOE25'!L227+'DOE25'!L245-F16-G16</f>
        <v>334383.05999999994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2046644</v>
      </c>
      <c r="D25" s="241"/>
      <c r="E25" s="241"/>
      <c r="F25" s="256"/>
      <c r="G25" s="254"/>
      <c r="H25" s="255">
        <f>'DOE25'!L260+'DOE25'!L261+'DOE25'!L341+'DOE25'!L342</f>
        <v>2046644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698062.50200000009</v>
      </c>
      <c r="D29" s="20">
        <f>'DOE25'!L358+'DOE25'!L359+'DOE25'!L360-'DOE25'!I367-F29-G29</f>
        <v>698062.50200000009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1462168.99</v>
      </c>
      <c r="D31" s="20">
        <f>'DOE25'!L290+'DOE25'!L309+'DOE25'!L328+'DOE25'!L333+'DOE25'!L334+'DOE25'!L335-F31-G31</f>
        <v>1363955.57</v>
      </c>
      <c r="E31" s="241"/>
      <c r="F31" s="253">
        <f>'DOE25'!J290+'DOE25'!J309+'DOE25'!J328+'DOE25'!J333+'DOE25'!J334+'DOE25'!J335</f>
        <v>39128.22</v>
      </c>
      <c r="G31" s="53">
        <f>'DOE25'!K290+'DOE25'!K309+'DOE25'!K328+'DOE25'!K333+'DOE25'!K334+'DOE25'!K335</f>
        <v>59085.200000000012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25291998.893344231</v>
      </c>
      <c r="E33" s="244">
        <f>SUM(E5:E31)</f>
        <v>1050902.4986557718</v>
      </c>
      <c r="F33" s="244">
        <f>SUM(F5:F31)</f>
        <v>74582.41</v>
      </c>
      <c r="G33" s="244">
        <f>SUM(G5:G31)</f>
        <v>93707.930000000008</v>
      </c>
      <c r="H33" s="244">
        <f>SUM(H5:H31)</f>
        <v>2046644</v>
      </c>
    </row>
    <row r="35" spans="2:8" ht="12" thickBot="1" x14ac:dyDescent="0.25">
      <c r="B35" s="251" t="s">
        <v>847</v>
      </c>
      <c r="D35" s="252">
        <f>E33</f>
        <v>1050902.4986557718</v>
      </c>
      <c r="E35" s="247"/>
    </row>
    <row r="36" spans="2:8" ht="12" thickTop="1" x14ac:dyDescent="0.2">
      <c r="B36" t="s">
        <v>815</v>
      </c>
      <c r="D36" s="20">
        <f>D33</f>
        <v>25291998.893344231</v>
      </c>
    </row>
    <row r="38" spans="2:8" x14ac:dyDescent="0.2">
      <c r="B38" s="185" t="s">
        <v>905</v>
      </c>
      <c r="C38" s="264"/>
      <c r="D38" s="265"/>
    </row>
    <row r="39" spans="2:8" x14ac:dyDescent="0.2">
      <c r="B39" t="s">
        <v>824</v>
      </c>
      <c r="D39" s="179" t="str">
        <f>IF(E10&gt;0,"Y","N")</f>
        <v>N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Somersworth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1284137.32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259025.08</v>
      </c>
      <c r="D11" s="94">
        <f>'DOE25'!G12</f>
        <v>19269.71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82699.179999999993</v>
      </c>
      <c r="E12" s="94">
        <f>'DOE25'!H13</f>
        <v>0</v>
      </c>
      <c r="F12" s="94">
        <f>'DOE25'!I13</f>
        <v>0</v>
      </c>
      <c r="G12" s="94">
        <f>'DOE25'!J13</f>
        <v>126195.2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30398.959999999999</v>
      </c>
      <c r="D13" s="94">
        <f>'DOE25'!G14</f>
        <v>0</v>
      </c>
      <c r="E13" s="94">
        <f>'DOE25'!H14</f>
        <v>288816.01</v>
      </c>
      <c r="F13" s="94">
        <f>'DOE25'!I14</f>
        <v>1049766.8700000001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289424.03999999998</v>
      </c>
      <c r="D18" s="41">
        <f>SUM(D8:D17)</f>
        <v>101968.88999999998</v>
      </c>
      <c r="E18" s="41">
        <f>SUM(E8:E17)</f>
        <v>288816.01</v>
      </c>
      <c r="F18" s="41">
        <f>SUM(F8:F17)</f>
        <v>2333904.1900000004</v>
      </c>
      <c r="G18" s="41">
        <f>SUM(G8:G17)</f>
        <v>126195.2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210302.3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50.54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289424.03999999998</v>
      </c>
      <c r="D23" s="94">
        <f>'DOE25'!G24</f>
        <v>7432.25</v>
      </c>
      <c r="E23" s="94">
        <f>'DOE25'!H24</f>
        <v>0</v>
      </c>
      <c r="F23" s="94">
        <f>'DOE25'!I24</f>
        <v>1304628.71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7456.38</v>
      </c>
      <c r="F24" s="94">
        <f>'DOE25'!I25</f>
        <v>361326.13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1625000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289424.03999999998</v>
      </c>
      <c r="D31" s="41">
        <f>SUM(D21:D30)</f>
        <v>7432.25</v>
      </c>
      <c r="E31" s="41">
        <f>SUM(E21:E30)</f>
        <v>217758.68</v>
      </c>
      <c r="F31" s="41">
        <f>SUM(F21:F30)</f>
        <v>3290954.84</v>
      </c>
      <c r="G31" s="41">
        <f>SUM(G21:G30)</f>
        <v>50.54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0</v>
      </c>
      <c r="D47" s="94">
        <f>'DOE25'!G48</f>
        <v>94536.639999999999</v>
      </c>
      <c r="E47" s="94">
        <f>'DOE25'!H48</f>
        <v>71057.329999999987</v>
      </c>
      <c r="F47" s="94">
        <f>'DOE25'!I48</f>
        <v>-957050.65</v>
      </c>
      <c r="G47" s="94">
        <f>'DOE25'!J48</f>
        <v>126144.65999999999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94536.639999999999</v>
      </c>
      <c r="E50" s="41">
        <f>SUM(E34:E49)</f>
        <v>71057.329999999987</v>
      </c>
      <c r="F50" s="41">
        <f>SUM(F34:F49)</f>
        <v>-957050.65</v>
      </c>
      <c r="G50" s="41">
        <f>SUM(G34:G49)</f>
        <v>126144.65999999999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289424.03999999998</v>
      </c>
      <c r="D51" s="41">
        <f>D50+D31</f>
        <v>101968.89</v>
      </c>
      <c r="E51" s="41">
        <f>E50+E31</f>
        <v>288816.01</v>
      </c>
      <c r="F51" s="41">
        <f>F50+F31</f>
        <v>2333904.19</v>
      </c>
      <c r="G51" s="41">
        <f>G50+G31</f>
        <v>126195.19999999998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14316096.98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585236.65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0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305682.91000000003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-4168.3100000000004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93115.16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581068.34</v>
      </c>
      <c r="D62" s="129">
        <f>SUM(D57:D61)</f>
        <v>305682.91000000003</v>
      </c>
      <c r="E62" s="129">
        <f>SUM(E57:E61)</f>
        <v>0</v>
      </c>
      <c r="F62" s="129">
        <f>SUM(F57:F61)</f>
        <v>0</v>
      </c>
      <c r="G62" s="129">
        <f>SUM(G57:G61)</f>
        <v>93115.16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14897165.32</v>
      </c>
      <c r="D63" s="22">
        <f>D56+D62</f>
        <v>305682.91000000003</v>
      </c>
      <c r="E63" s="22">
        <f>E56+E62</f>
        <v>0</v>
      </c>
      <c r="F63" s="22">
        <f>F56+F62</f>
        <v>0</v>
      </c>
      <c r="G63" s="22">
        <f>G56+G62</f>
        <v>93115.16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7811169.0999999996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2003328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1016.27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9815513.3699999992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864932.38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425815.28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38119.69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9216.0400000000009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1328867.3500000001</v>
      </c>
      <c r="D78" s="129">
        <f>SUM(D72:D77)</f>
        <v>9216.0400000000009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11144380.719999999</v>
      </c>
      <c r="D81" s="129">
        <f>SUM(D79:D80)+D78+D70</f>
        <v>9216.0400000000009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2926218.95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356140.08</v>
      </c>
      <c r="D88" s="94">
        <f>SUM('DOE25'!G153:G161)</f>
        <v>425531.19</v>
      </c>
      <c r="E88" s="94">
        <f>SUM('DOE25'!H153:H161)</f>
        <v>1458627.0299999998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356140.08</v>
      </c>
      <c r="D91" s="130">
        <f>SUM(D85:D90)</f>
        <v>425531.19</v>
      </c>
      <c r="E91" s="130">
        <f>SUM(E85:E90)</f>
        <v>1458627.0299999998</v>
      </c>
      <c r="F91" s="130">
        <f>SUM(F85:F90)</f>
        <v>2926218.95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66.02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371000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0</v>
      </c>
      <c r="D103" s="85">
        <f>SUM(D93:D102)</f>
        <v>0</v>
      </c>
      <c r="E103" s="85">
        <f>SUM(E93:E102)</f>
        <v>0</v>
      </c>
      <c r="F103" s="85">
        <f>SUM(F93:F102)</f>
        <v>371066.02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26397686.119999997</v>
      </c>
      <c r="D104" s="85">
        <f>D63+D81+D91+D103</f>
        <v>740430.14</v>
      </c>
      <c r="E104" s="85">
        <f>E63+E81+E91+E103</f>
        <v>1458627.0299999998</v>
      </c>
      <c r="F104" s="85">
        <f>F63+F81+F91+F103</f>
        <v>3297284.97</v>
      </c>
      <c r="G104" s="85">
        <f>G63+G81+G103</f>
        <v>93115.16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8250243.1899999995</v>
      </c>
      <c r="D109" s="24" t="s">
        <v>289</v>
      </c>
      <c r="E109" s="94">
        <f>('DOE25'!L276)+('DOE25'!L295)+('DOE25'!L314)</f>
        <v>693185.84999999986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6541173.8399999999</v>
      </c>
      <c r="D110" s="24" t="s">
        <v>289</v>
      </c>
      <c r="E110" s="94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677965.3600000001</v>
      </c>
      <c r="D111" s="24" t="s">
        <v>289</v>
      </c>
      <c r="E111" s="94">
        <f>('DOE25'!L278)+('DOE25'!L297)+('DOE25'!L316)</f>
        <v>100165.75999999999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172627.88</v>
      </c>
      <c r="D112" s="24" t="s">
        <v>289</v>
      </c>
      <c r="E112" s="94">
        <f>+('DOE25'!L279)+('DOE25'!L298)+('DOE25'!L317)</f>
        <v>265067.68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15642010.27</v>
      </c>
      <c r="D115" s="85">
        <f>SUM(D109:D114)</f>
        <v>0</v>
      </c>
      <c r="E115" s="85">
        <f>SUM(E109:E114)</f>
        <v>1058419.2899999998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1875529.93</v>
      </c>
      <c r="D118" s="24" t="s">
        <v>289</v>
      </c>
      <c r="E118" s="94">
        <f>+('DOE25'!L281)+('DOE25'!L300)+('DOE25'!L319)</f>
        <v>9088.34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349273.56000000006</v>
      </c>
      <c r="D119" s="24" t="s">
        <v>289</v>
      </c>
      <c r="E119" s="94">
        <f>+('DOE25'!L282)+('DOE25'!L301)+('DOE25'!L320)</f>
        <v>252385.31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1030462.6199999999</v>
      </c>
      <c r="D120" s="24" t="s">
        <v>289</v>
      </c>
      <c r="E120" s="94">
        <f>+('DOE25'!L283)+('DOE25'!L302)+('DOE25'!L321)</f>
        <v>29233.599999999995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1465327.13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107196.05000000002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2608959.5300000003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1045096.02</v>
      </c>
      <c r="D124" s="24" t="s">
        <v>289</v>
      </c>
      <c r="E124" s="94">
        <f>+('DOE25'!L287)+('DOE25'!L306)+('DOE25'!L325)</f>
        <v>5846.4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334383.05999999994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698062.50200000009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8709031.8500000015</v>
      </c>
      <c r="D128" s="85">
        <f>SUM(D118:D127)</f>
        <v>698062.50200000009</v>
      </c>
      <c r="E128" s="85">
        <f>SUM(E118:E127)</f>
        <v>403749.70000000007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4254335.62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1620707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425937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93115.16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-93115.16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2046644.0000000002</v>
      </c>
      <c r="D144" s="140">
        <f>SUM(D130:D143)</f>
        <v>0</v>
      </c>
      <c r="E144" s="140">
        <f>SUM(E130:E143)</f>
        <v>0</v>
      </c>
      <c r="F144" s="140">
        <f>SUM(F130:F143)</f>
        <v>4254335.62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26397686.120000001</v>
      </c>
      <c r="D145" s="85">
        <f>(D115+D128+D144)</f>
        <v>698062.50200000009</v>
      </c>
      <c r="E145" s="85">
        <f>(E115+E128+E144)</f>
        <v>1462168.9899999998</v>
      </c>
      <c r="F145" s="85">
        <f>(F115+F128+F144)</f>
        <v>4254335.62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1</v>
      </c>
      <c r="C151" s="151">
        <f>'DOE25'!G490</f>
        <v>2</v>
      </c>
      <c r="D151" s="151">
        <f>'DOE25'!H490</f>
        <v>3</v>
      </c>
      <c r="E151" s="151">
        <f>'DOE25'!I490</f>
        <v>4</v>
      </c>
      <c r="F151" s="151">
        <f>'DOE25'!J490</f>
        <v>5</v>
      </c>
      <c r="G151" s="24" t="s">
        <v>289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07/08</v>
      </c>
      <c r="E152" s="150" t="str">
        <f>'DOE25'!I491</f>
        <v>01/10</v>
      </c>
      <c r="F152" s="150" t="str">
        <f>'DOE25'!J491</f>
        <v>08/13</v>
      </c>
      <c r="G152" s="24" t="s">
        <v>289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08/18</v>
      </c>
      <c r="E153" s="150" t="str">
        <f>'DOE25'!I492</f>
        <v>01/30</v>
      </c>
      <c r="F153" s="150" t="str">
        <f>'DOE25'!J492</f>
        <v>08/28</v>
      </c>
      <c r="G153" s="24" t="s">
        <v>289</v>
      </c>
    </row>
    <row r="154" spans="1:9" x14ac:dyDescent="0.2">
      <c r="A154" s="135" t="s">
        <v>30</v>
      </c>
      <c r="B154" s="136">
        <f>'DOE25'!F493</f>
        <v>5300000</v>
      </c>
      <c r="C154" s="136">
        <f>'DOE25'!G493</f>
        <v>310000</v>
      </c>
      <c r="D154" s="136">
        <f>'DOE25'!H493</f>
        <v>1338545</v>
      </c>
      <c r="E154" s="136">
        <f>'DOE25'!I493</f>
        <v>18953000</v>
      </c>
      <c r="F154" s="136">
        <f>'DOE25'!J493</f>
        <v>1181700</v>
      </c>
      <c r="G154" s="24" t="s">
        <v>289</v>
      </c>
    </row>
    <row r="155" spans="1:9" x14ac:dyDescent="0.2">
      <c r="A155" s="135" t="s">
        <v>31</v>
      </c>
      <c r="B155" s="136">
        <f>'DOE25'!F494</f>
        <v>5.63</v>
      </c>
      <c r="C155" s="136">
        <f>'DOE25'!G494</f>
        <v>5.2</v>
      </c>
      <c r="D155" s="136">
        <f>'DOE25'!H494</f>
        <v>3.68</v>
      </c>
      <c r="E155" s="136">
        <f>'DOE25'!I494</f>
        <v>3.73</v>
      </c>
      <c r="F155" s="136">
        <f>'DOE25'!J494</f>
        <v>3.1429999999999998</v>
      </c>
      <c r="G155" s="24" t="s">
        <v>289</v>
      </c>
    </row>
    <row r="156" spans="1:9" x14ac:dyDescent="0.2">
      <c r="A156" s="22" t="s">
        <v>32</v>
      </c>
      <c r="B156" s="136">
        <f>'DOE25'!F495</f>
        <v>530000</v>
      </c>
      <c r="C156" s="136">
        <f>'DOE25'!G495</f>
        <v>75000</v>
      </c>
      <c r="D156" s="136">
        <f>'DOE25'!H495</f>
        <v>530000</v>
      </c>
      <c r="E156" s="136">
        <f>'DOE25'!I495</f>
        <v>13715943</v>
      </c>
      <c r="F156" s="136">
        <f>'DOE25'!J495</f>
        <v>1098000</v>
      </c>
      <c r="G156" s="137">
        <f>SUM(B156:F156)</f>
        <v>15948943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265000</v>
      </c>
      <c r="C158" s="136">
        <f>'DOE25'!G497</f>
        <v>15000</v>
      </c>
      <c r="D158" s="136">
        <f>'DOE25'!H497</f>
        <v>135000</v>
      </c>
      <c r="E158" s="136">
        <f>'DOE25'!I497</f>
        <v>1118857</v>
      </c>
      <c r="F158" s="136">
        <f>'DOE25'!J497</f>
        <v>86850</v>
      </c>
      <c r="G158" s="137">
        <f t="shared" si="0"/>
        <v>1620707</v>
      </c>
    </row>
    <row r="159" spans="1:9" x14ac:dyDescent="0.2">
      <c r="A159" s="22" t="s">
        <v>35</v>
      </c>
      <c r="B159" s="136">
        <f>'DOE25'!F498</f>
        <v>265000</v>
      </c>
      <c r="C159" s="136">
        <f>'DOE25'!G498</f>
        <v>60000</v>
      </c>
      <c r="D159" s="136">
        <f>'DOE25'!H498</f>
        <v>395000</v>
      </c>
      <c r="E159" s="136">
        <f>'DOE25'!I498</f>
        <v>12597086</v>
      </c>
      <c r="F159" s="136">
        <f>'DOE25'!J498</f>
        <v>1011150</v>
      </c>
      <c r="G159" s="137">
        <f t="shared" si="0"/>
        <v>14328236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265000</v>
      </c>
      <c r="C161" s="136">
        <f>'DOE25'!G500</f>
        <v>60000</v>
      </c>
      <c r="D161" s="136">
        <f>'DOE25'!H500</f>
        <v>395000</v>
      </c>
      <c r="E161" s="136">
        <f>'DOE25'!I500</f>
        <v>12597086</v>
      </c>
      <c r="F161" s="136">
        <f>'DOE25'!J500</f>
        <v>1011150</v>
      </c>
      <c r="G161" s="137">
        <f t="shared" si="0"/>
        <v>14328236</v>
      </c>
    </row>
    <row r="162" spans="1:7" x14ac:dyDescent="0.2">
      <c r="A162" s="22" t="s">
        <v>38</v>
      </c>
      <c r="B162" s="136">
        <f>'DOE25'!F501</f>
        <v>265000</v>
      </c>
      <c r="C162" s="136">
        <f>'DOE25'!G501</f>
        <v>15000</v>
      </c>
      <c r="D162" s="136">
        <f>'DOE25'!H501</f>
        <v>135000</v>
      </c>
      <c r="E162" s="136">
        <f>'DOE25'!I501</f>
        <v>1118857</v>
      </c>
      <c r="F162" s="136">
        <f>'DOE25'!J501</f>
        <v>86850</v>
      </c>
      <c r="G162" s="137">
        <f t="shared" si="0"/>
        <v>1620707</v>
      </c>
    </row>
    <row r="163" spans="1:7" x14ac:dyDescent="0.2">
      <c r="A163" s="22" t="s">
        <v>39</v>
      </c>
      <c r="B163" s="136">
        <f>'DOE25'!F502</f>
        <v>7619</v>
      </c>
      <c r="C163" s="136">
        <f>'DOE25'!G502</f>
        <v>2756</v>
      </c>
      <c r="D163" s="136">
        <f>'DOE25'!H502</f>
        <v>17194</v>
      </c>
      <c r="E163" s="136">
        <f>'DOE25'!I502</f>
        <v>360961</v>
      </c>
      <c r="F163" s="136">
        <f>'DOE25'!J502</f>
        <v>49546</v>
      </c>
      <c r="G163" s="137">
        <f t="shared" si="0"/>
        <v>438076</v>
      </c>
    </row>
    <row r="164" spans="1:7" x14ac:dyDescent="0.2">
      <c r="A164" s="22" t="s">
        <v>246</v>
      </c>
      <c r="B164" s="136">
        <f>'DOE25'!F503</f>
        <v>272619</v>
      </c>
      <c r="C164" s="136">
        <f>'DOE25'!G503</f>
        <v>17756</v>
      </c>
      <c r="D164" s="136">
        <f>'DOE25'!H503</f>
        <v>152194</v>
      </c>
      <c r="E164" s="136">
        <f>'DOE25'!I503</f>
        <v>1479818</v>
      </c>
      <c r="F164" s="136">
        <f>'DOE25'!J503</f>
        <v>136396</v>
      </c>
      <c r="G164" s="137">
        <f t="shared" si="0"/>
        <v>2058783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5" t="s">
        <v>717</v>
      </c>
      <c r="B2" s="184" t="str">
        <f>'DOE25'!A2</f>
        <v>Somersworth</v>
      </c>
    </row>
    <row r="3" spans="1:4" x14ac:dyDescent="0.2">
      <c r="B3" s="186" t="s">
        <v>902</v>
      </c>
    </row>
    <row r="4" spans="1:4" x14ac:dyDescent="0.2">
      <c r="B4" t="s">
        <v>61</v>
      </c>
      <c r="C4" s="177">
        <f>IF('DOE25'!F665+'DOE25'!F670=0,0,ROUND('DOE25'!F672,0))</f>
        <v>14611</v>
      </c>
    </row>
    <row r="5" spans="1:4" x14ac:dyDescent="0.2">
      <c r="B5" t="s">
        <v>704</v>
      </c>
      <c r="C5" s="177">
        <f>IF('DOE25'!G665+'DOE25'!G670=0,0,ROUND('DOE25'!G672,0))</f>
        <v>15600</v>
      </c>
    </row>
    <row r="6" spans="1:4" x14ac:dyDescent="0.2">
      <c r="B6" t="s">
        <v>62</v>
      </c>
      <c r="C6" s="177">
        <f>IF('DOE25'!H665+'DOE25'!H670=0,0,ROUND('DOE25'!H672,0))</f>
        <v>15474</v>
      </c>
    </row>
    <row r="7" spans="1:4" x14ac:dyDescent="0.2">
      <c r="B7" t="s">
        <v>705</v>
      </c>
      <c r="C7" s="177">
        <f>IF('DOE25'!I665+'DOE25'!I670=0,0,ROUND('DOE25'!I672,0))</f>
        <v>15113</v>
      </c>
    </row>
    <row r="9" spans="1:4" x14ac:dyDescent="0.2">
      <c r="A9" s="185" t="s">
        <v>94</v>
      </c>
      <c r="B9" s="186" t="s">
        <v>903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8943429</v>
      </c>
      <c r="D10" s="180">
        <f>ROUND((C10/$C$28)*100,1)</f>
        <v>33.6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6541174</v>
      </c>
      <c r="D11" s="180">
        <f>ROUND((C11/$C$28)*100,1)</f>
        <v>24.6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778131</v>
      </c>
      <c r="D12" s="180">
        <f>ROUND((C12/$C$28)*100,1)</f>
        <v>2.9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437696</v>
      </c>
      <c r="D13" s="180">
        <f>ROUND((C13/$C$28)*100,1)</f>
        <v>1.6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1884618</v>
      </c>
      <c r="D15" s="180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601659</v>
      </c>
      <c r="D16" s="180">
        <f t="shared" si="0"/>
        <v>2.2999999999999998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1394079</v>
      </c>
      <c r="D17" s="180">
        <f t="shared" si="0"/>
        <v>5.2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1465327</v>
      </c>
      <c r="D18" s="180">
        <f t="shared" si="0"/>
        <v>5.5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107196</v>
      </c>
      <c r="D19" s="180">
        <f t="shared" si="0"/>
        <v>0.4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2608960</v>
      </c>
      <c r="D20" s="180">
        <f t="shared" si="0"/>
        <v>9.8000000000000007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1050942</v>
      </c>
      <c r="D21" s="180">
        <f t="shared" si="0"/>
        <v>3.9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425937</v>
      </c>
      <c r="D25" s="180">
        <f t="shared" si="0"/>
        <v>1.6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392380.08999999997</v>
      </c>
      <c r="D27" s="180">
        <f t="shared" si="0"/>
        <v>1.5</v>
      </c>
    </row>
    <row r="28" spans="1:4" x14ac:dyDescent="0.2">
      <c r="B28" s="185" t="s">
        <v>723</v>
      </c>
      <c r="C28" s="178">
        <f>SUM(C10:C27)</f>
        <v>26631528.09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4254336</v>
      </c>
    </row>
    <row r="30" spans="1:4" x14ac:dyDescent="0.2">
      <c r="B30" s="185" t="s">
        <v>729</v>
      </c>
      <c r="C30" s="178">
        <f>SUM(C28:C29)</f>
        <v>30885864.09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1620707</v>
      </c>
    </row>
    <row r="34" spans="1:4" x14ac:dyDescent="0.2">
      <c r="A34" s="185" t="s">
        <v>94</v>
      </c>
      <c r="B34" s="186" t="s">
        <v>904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14316097</v>
      </c>
      <c r="D35" s="180">
        <f t="shared" ref="D35:D40" si="1">ROUND((C35/$C$41)*100,1)</f>
        <v>45.7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674249.5</v>
      </c>
      <c r="D36" s="180">
        <f t="shared" si="1"/>
        <v>2.2000000000000002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9814497</v>
      </c>
      <c r="D37" s="180">
        <f t="shared" si="1"/>
        <v>31.3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1339100</v>
      </c>
      <c r="D38" s="180">
        <f t="shared" si="1"/>
        <v>4.3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5166517</v>
      </c>
      <c r="D39" s="180">
        <f t="shared" si="1"/>
        <v>16.5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31310460.5</v>
      </c>
      <c r="D41" s="182">
        <f>SUM(D35:D40)</f>
        <v>100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1"/>
      <c r="K1" s="211"/>
      <c r="L1" s="211"/>
      <c r="M1" s="212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Somersworth</v>
      </c>
      <c r="G2" s="291"/>
      <c r="H2" s="291"/>
      <c r="I2" s="291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6"/>
      <c r="B4" s="217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09"/>
      <c r="O29" s="209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5"/>
      <c r="AB29" s="205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5"/>
      <c r="AO29" s="205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5"/>
      <c r="BB29" s="205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5"/>
      <c r="BO29" s="205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5"/>
      <c r="CB29" s="205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5"/>
      <c r="CO29" s="205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5"/>
      <c r="DB29" s="205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5"/>
      <c r="DO29" s="205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5"/>
      <c r="EB29" s="205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5"/>
      <c r="EO29" s="205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5"/>
      <c r="FB29" s="205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5"/>
      <c r="FO29" s="205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5"/>
      <c r="GB29" s="205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5"/>
      <c r="GO29" s="205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5"/>
      <c r="HB29" s="205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5"/>
      <c r="HO29" s="205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5"/>
      <c r="IB29" s="205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5"/>
      <c r="IO29" s="205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6"/>
      <c r="B30" s="217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09"/>
      <c r="O30" s="209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5"/>
      <c r="AB30" s="205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5"/>
      <c r="AO30" s="205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5"/>
      <c r="BB30" s="205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5"/>
      <c r="BO30" s="205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5"/>
      <c r="CB30" s="205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5"/>
      <c r="CO30" s="205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5"/>
      <c r="DB30" s="205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5"/>
      <c r="DO30" s="205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5"/>
      <c r="EB30" s="205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5"/>
      <c r="EO30" s="205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5"/>
      <c r="FB30" s="205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5"/>
      <c r="FO30" s="205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5"/>
      <c r="GB30" s="205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5"/>
      <c r="GO30" s="205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5"/>
      <c r="HB30" s="205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5"/>
      <c r="HO30" s="205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5"/>
      <c r="IB30" s="205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5"/>
      <c r="IO30" s="205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6"/>
      <c r="B31" s="217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09"/>
      <c r="O31" s="209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5"/>
      <c r="AB31" s="205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5"/>
      <c r="AO31" s="205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5"/>
      <c r="BB31" s="205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5"/>
      <c r="BO31" s="205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5"/>
      <c r="CB31" s="205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5"/>
      <c r="CO31" s="205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5"/>
      <c r="DB31" s="205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5"/>
      <c r="DO31" s="205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5"/>
      <c r="EB31" s="205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5"/>
      <c r="EO31" s="205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5"/>
      <c r="FB31" s="205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5"/>
      <c r="FO31" s="205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5"/>
      <c r="GB31" s="205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5"/>
      <c r="GO31" s="205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5"/>
      <c r="HB31" s="205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5"/>
      <c r="HO31" s="205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5"/>
      <c r="IB31" s="205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5"/>
      <c r="IO31" s="205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6"/>
      <c r="B32" s="217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1"/>
      <c r="O32" s="221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6"/>
      <c r="AB32" s="217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6"/>
      <c r="AO32" s="217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6"/>
      <c r="BB32" s="217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6"/>
      <c r="BO32" s="217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6"/>
      <c r="CB32" s="217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6"/>
      <c r="CO32" s="217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6"/>
      <c r="DB32" s="217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6"/>
      <c r="DO32" s="217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6"/>
      <c r="EB32" s="217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6"/>
      <c r="EO32" s="217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6"/>
      <c r="FB32" s="217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6"/>
      <c r="FO32" s="217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6"/>
      <c r="GB32" s="217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6"/>
      <c r="GO32" s="217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6"/>
      <c r="HB32" s="217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6"/>
      <c r="HO32" s="217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6"/>
      <c r="IB32" s="217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6"/>
      <c r="IO32" s="217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6"/>
      <c r="B33" s="217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09"/>
      <c r="O38" s="209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5"/>
      <c r="AB38" s="205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5"/>
      <c r="AO38" s="205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5"/>
      <c r="BB38" s="205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5"/>
      <c r="BO38" s="205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5"/>
      <c r="CB38" s="205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5"/>
      <c r="CO38" s="205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5"/>
      <c r="DB38" s="205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5"/>
      <c r="DO38" s="205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5"/>
      <c r="EB38" s="205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5"/>
      <c r="EO38" s="205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5"/>
      <c r="FB38" s="205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5"/>
      <c r="FO38" s="205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5"/>
      <c r="GB38" s="205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5"/>
      <c r="GO38" s="205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5"/>
      <c r="HB38" s="205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5"/>
      <c r="HO38" s="205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5"/>
      <c r="IB38" s="205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5"/>
      <c r="IO38" s="205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6"/>
      <c r="B39" s="217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09"/>
      <c r="O39" s="209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5"/>
      <c r="AB39" s="205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5"/>
      <c r="AO39" s="205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5"/>
      <c r="BB39" s="205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5"/>
      <c r="BO39" s="205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5"/>
      <c r="CB39" s="205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5"/>
      <c r="CO39" s="205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5"/>
      <c r="DB39" s="205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5"/>
      <c r="DO39" s="205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5"/>
      <c r="EB39" s="205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5"/>
      <c r="EO39" s="205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5"/>
      <c r="FB39" s="205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5"/>
      <c r="FO39" s="205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5"/>
      <c r="GB39" s="205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5"/>
      <c r="GO39" s="205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5"/>
      <c r="HB39" s="205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5"/>
      <c r="HO39" s="205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5"/>
      <c r="IB39" s="205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5"/>
      <c r="IO39" s="205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6"/>
      <c r="B40" s="217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09"/>
      <c r="O40" s="209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5"/>
      <c r="AB40" s="205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5"/>
      <c r="AO40" s="205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5"/>
      <c r="BB40" s="205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5"/>
      <c r="BO40" s="205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5"/>
      <c r="CB40" s="205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5"/>
      <c r="CO40" s="205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5"/>
      <c r="DB40" s="205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5"/>
      <c r="DO40" s="205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5"/>
      <c r="EB40" s="205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5"/>
      <c r="EO40" s="205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5"/>
      <c r="FB40" s="205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5"/>
      <c r="FO40" s="205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5"/>
      <c r="GB40" s="205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5"/>
      <c r="GO40" s="205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5"/>
      <c r="HB40" s="205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5"/>
      <c r="HO40" s="205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5"/>
      <c r="IB40" s="205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5"/>
      <c r="IO40" s="205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6"/>
      <c r="B41" s="217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6"/>
      <c r="B60" s="217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6"/>
      <c r="B61" s="217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6"/>
      <c r="B62" s="217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6"/>
      <c r="B63" s="217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6"/>
      <c r="B64" s="217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6"/>
      <c r="B65" s="217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6"/>
      <c r="B66" s="217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6"/>
      <c r="B67" s="217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6"/>
      <c r="B68" s="217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6"/>
      <c r="B69" s="217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8"/>
      <c r="B70" s="219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9" t="s">
        <v>848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09"/>
      <c r="B74" s="209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09"/>
      <c r="B75" s="209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09"/>
      <c r="B76" s="209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09"/>
      <c r="B77" s="209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09"/>
      <c r="B78" s="209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09"/>
      <c r="B79" s="209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09"/>
      <c r="B80" s="209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09"/>
      <c r="B81" s="209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09"/>
      <c r="B82" s="209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09"/>
      <c r="B83" s="209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09"/>
      <c r="B84" s="209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09"/>
      <c r="B85" s="209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09"/>
      <c r="B86" s="209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09"/>
      <c r="B87" s="209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09"/>
      <c r="B88" s="209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09"/>
      <c r="B89" s="209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09"/>
      <c r="B90" s="209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2016-09-19T11:58:48Z</cp:lastPrinted>
  <dcterms:created xsi:type="dcterms:W3CDTF">1997-12-04T19:04:30Z</dcterms:created>
  <dcterms:modified xsi:type="dcterms:W3CDTF">2016-12-01T18:48:29Z</dcterms:modified>
</cp:coreProperties>
</file>