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K360" i="1" l="1"/>
  <c r="G613" i="1" l="1"/>
  <c r="F613" i="1"/>
  <c r="C39" i="12" l="1"/>
  <c r="C38" i="12"/>
  <c r="C37" i="12"/>
  <c r="B39" i="12"/>
  <c r="B37" i="12"/>
  <c r="C20" i="12"/>
  <c r="C21" i="12"/>
  <c r="C19" i="12"/>
  <c r="C11" i="12"/>
  <c r="C12" i="12"/>
  <c r="C10" i="12"/>
  <c r="H400" i="1" l="1"/>
  <c r="I48" i="1"/>
  <c r="H543" i="1" l="1"/>
  <c r="F502" i="1" l="1"/>
  <c r="F498" i="1"/>
  <c r="J472" i="1" l="1"/>
  <c r="I472" i="1"/>
  <c r="H472" i="1"/>
  <c r="F472" i="1"/>
  <c r="H468" i="1"/>
  <c r="I468" i="1"/>
  <c r="J468" i="1"/>
  <c r="H451" i="1" l="1"/>
  <c r="H439" i="1"/>
  <c r="C45" i="2" l="1"/>
  <c r="G51" i="1"/>
  <c r="F51" i="1"/>
  <c r="C37" i="10" l="1"/>
  <c r="F40" i="2" l="1"/>
  <c r="D39" i="2"/>
  <c r="G655" i="1"/>
  <c r="F48" i="2"/>
  <c r="E48" i="2"/>
  <c r="D48" i="2"/>
  <c r="D50" i="2" s="1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C12" i="10" s="1"/>
  <c r="L200" i="1"/>
  <c r="L215" i="1"/>
  <c r="L216" i="1"/>
  <c r="L217" i="1"/>
  <c r="L229" i="1" s="1"/>
  <c r="L218" i="1"/>
  <c r="L233" i="1"/>
  <c r="L234" i="1"/>
  <c r="C11" i="10" s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L243" i="1"/>
  <c r="C20" i="10" s="1"/>
  <c r="F15" i="13"/>
  <c r="G15" i="13"/>
  <c r="L208" i="1"/>
  <c r="C21" i="10" s="1"/>
  <c r="L226" i="1"/>
  <c r="L244" i="1"/>
  <c r="F17" i="13"/>
  <c r="G17" i="13"/>
  <c r="L251" i="1"/>
  <c r="C114" i="2" s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90" i="1" s="1"/>
  <c r="F660" i="1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E112" i="2" s="1"/>
  <c r="L319" i="1"/>
  <c r="L320" i="1"/>
  <c r="E119" i="2" s="1"/>
  <c r="L321" i="1"/>
  <c r="E120" i="2" s="1"/>
  <c r="L322" i="1"/>
  <c r="E121" i="2" s="1"/>
  <c r="L323" i="1"/>
  <c r="L324" i="1"/>
  <c r="E123" i="2" s="1"/>
  <c r="L325" i="1"/>
  <c r="L326" i="1"/>
  <c r="L333" i="1"/>
  <c r="E114" i="2" s="1"/>
  <c r="L334" i="1"/>
  <c r="L335" i="1"/>
  <c r="L260" i="1"/>
  <c r="C32" i="10" s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H79" i="1"/>
  <c r="E57" i="2" s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3" i="10"/>
  <c r="L250" i="1"/>
  <c r="L332" i="1"/>
  <c r="L254" i="1"/>
  <c r="L268" i="1"/>
  <c r="L269" i="1"/>
  <c r="L349" i="1"/>
  <c r="C26" i="10" s="1"/>
  <c r="L350" i="1"/>
  <c r="I665" i="1"/>
  <c r="I670" i="1"/>
  <c r="L211" i="1"/>
  <c r="G662" i="1"/>
  <c r="H662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K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C113" i="2"/>
  <c r="E113" i="2"/>
  <c r="D115" i="2"/>
  <c r="F115" i="2"/>
  <c r="G115" i="2"/>
  <c r="C123" i="2"/>
  <c r="E124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F257" i="1" s="1"/>
  <c r="F271" i="1" s="1"/>
  <c r="G247" i="1"/>
  <c r="G257" i="1" s="1"/>
  <c r="G271" i="1" s="1"/>
  <c r="H247" i="1"/>
  <c r="I247" i="1"/>
  <c r="J247" i="1"/>
  <c r="K247" i="1"/>
  <c r="K257" i="1" s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F338" i="1" s="1"/>
  <c r="F352" i="1" s="1"/>
  <c r="G328" i="1"/>
  <c r="G338" i="1" s="1"/>
  <c r="G352" i="1" s="1"/>
  <c r="H328" i="1"/>
  <c r="H338" i="1" s="1"/>
  <c r="H352" i="1" s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G641" i="1" s="1"/>
  <c r="I446" i="1"/>
  <c r="G642" i="1" s="1"/>
  <c r="F452" i="1"/>
  <c r="G452" i="1"/>
  <c r="H452" i="1"/>
  <c r="I452" i="1"/>
  <c r="F460" i="1"/>
  <c r="F461" i="1" s="1"/>
  <c r="H639" i="1" s="1"/>
  <c r="G460" i="1"/>
  <c r="H460" i="1"/>
  <c r="I460" i="1"/>
  <c r="I461" i="1" s="1"/>
  <c r="H642" i="1" s="1"/>
  <c r="G461" i="1"/>
  <c r="H640" i="1" s="1"/>
  <c r="H470" i="1"/>
  <c r="I470" i="1"/>
  <c r="J470" i="1"/>
  <c r="J476" i="1" s="1"/>
  <c r="H626" i="1" s="1"/>
  <c r="F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60" i="1" s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9" i="1"/>
  <c r="H630" i="1"/>
  <c r="H631" i="1"/>
  <c r="H632" i="1"/>
  <c r="H633" i="1"/>
  <c r="H636" i="1"/>
  <c r="H637" i="1"/>
  <c r="H638" i="1"/>
  <c r="G640" i="1"/>
  <c r="G643" i="1"/>
  <c r="J643" i="1" s="1"/>
  <c r="H643" i="1"/>
  <c r="G644" i="1"/>
  <c r="H645" i="1"/>
  <c r="G650" i="1"/>
  <c r="G651" i="1"/>
  <c r="G652" i="1"/>
  <c r="H652" i="1"/>
  <c r="G653" i="1"/>
  <c r="H653" i="1"/>
  <c r="G654" i="1"/>
  <c r="H654" i="1"/>
  <c r="H655" i="1"/>
  <c r="J655" i="1" s="1"/>
  <c r="F192" i="1"/>
  <c r="F78" i="2"/>
  <c r="G161" i="2"/>
  <c r="D19" i="13"/>
  <c r="C19" i="13" s="1"/>
  <c r="E78" i="2"/>
  <c r="K605" i="1"/>
  <c r="G648" i="1" s="1"/>
  <c r="L419" i="1"/>
  <c r="I169" i="1"/>
  <c r="H476" i="1"/>
  <c r="H624" i="1" s="1"/>
  <c r="J140" i="1"/>
  <c r="K550" i="1"/>
  <c r="G22" i="2"/>
  <c r="J552" i="1"/>
  <c r="H140" i="1"/>
  <c r="F22" i="13"/>
  <c r="C22" i="13" s="1"/>
  <c r="H192" i="1"/>
  <c r="L570" i="1"/>
  <c r="I571" i="1"/>
  <c r="G36" i="2"/>
  <c r="J639" i="1" l="1"/>
  <c r="J640" i="1"/>
  <c r="H461" i="1"/>
  <c r="H641" i="1" s="1"/>
  <c r="J641" i="1" s="1"/>
  <c r="G157" i="2"/>
  <c r="I476" i="1"/>
  <c r="H625" i="1" s="1"/>
  <c r="I52" i="1"/>
  <c r="H620" i="1" s="1"/>
  <c r="J620" i="1" s="1"/>
  <c r="F18" i="2"/>
  <c r="L401" i="1"/>
  <c r="C139" i="2" s="1"/>
  <c r="G645" i="1"/>
  <c r="J651" i="1"/>
  <c r="K598" i="1"/>
  <c r="G647" i="1" s="1"/>
  <c r="E122" i="2"/>
  <c r="C16" i="10"/>
  <c r="L328" i="1"/>
  <c r="L338" i="1" s="1"/>
  <c r="E118" i="2"/>
  <c r="A40" i="12"/>
  <c r="K338" i="1"/>
  <c r="K352" i="1" s="1"/>
  <c r="J645" i="1"/>
  <c r="G62" i="2"/>
  <c r="J644" i="1"/>
  <c r="E62" i="2"/>
  <c r="E63" i="2" s="1"/>
  <c r="C78" i="2"/>
  <c r="C70" i="2"/>
  <c r="F112" i="1"/>
  <c r="J545" i="1"/>
  <c r="H545" i="1"/>
  <c r="H552" i="1"/>
  <c r="L524" i="1"/>
  <c r="I545" i="1"/>
  <c r="K551" i="1"/>
  <c r="K552" i="1" s="1"/>
  <c r="G545" i="1"/>
  <c r="K271" i="1"/>
  <c r="L270" i="1"/>
  <c r="E16" i="13"/>
  <c r="C16" i="13" s="1"/>
  <c r="C17" i="10"/>
  <c r="D14" i="13"/>
  <c r="C14" i="13" s="1"/>
  <c r="E13" i="13"/>
  <c r="C13" i="13" s="1"/>
  <c r="C121" i="2"/>
  <c r="C119" i="2"/>
  <c r="D7" i="13"/>
  <c r="C7" i="13" s="1"/>
  <c r="C118" i="2"/>
  <c r="I257" i="1"/>
  <c r="I271" i="1" s="1"/>
  <c r="H257" i="1"/>
  <c r="H271" i="1" s="1"/>
  <c r="L256" i="1"/>
  <c r="D17" i="13"/>
  <c r="C17" i="13" s="1"/>
  <c r="C110" i="2"/>
  <c r="D5" i="13"/>
  <c r="C5" i="13" s="1"/>
  <c r="J257" i="1"/>
  <c r="J271" i="1" s="1"/>
  <c r="L247" i="1"/>
  <c r="C109" i="2"/>
  <c r="A13" i="12"/>
  <c r="D29" i="13"/>
  <c r="C29" i="13" s="1"/>
  <c r="J634" i="1"/>
  <c r="L362" i="1"/>
  <c r="G661" i="1"/>
  <c r="J624" i="1"/>
  <c r="H52" i="1"/>
  <c r="H619" i="1" s="1"/>
  <c r="J619" i="1" s="1"/>
  <c r="E31" i="2"/>
  <c r="D31" i="2"/>
  <c r="D51" i="2" s="1"/>
  <c r="D18" i="2"/>
  <c r="J617" i="1"/>
  <c r="C18" i="2"/>
  <c r="E128" i="2"/>
  <c r="C81" i="2"/>
  <c r="E8" i="13"/>
  <c r="C8" i="13" s="1"/>
  <c r="D12" i="13"/>
  <c r="C12" i="13" s="1"/>
  <c r="L539" i="1"/>
  <c r="K503" i="1"/>
  <c r="L382" i="1"/>
  <c r="G636" i="1" s="1"/>
  <c r="J636" i="1" s="1"/>
  <c r="E109" i="2"/>
  <c r="E115" i="2" s="1"/>
  <c r="C62" i="2"/>
  <c r="F661" i="1"/>
  <c r="C19" i="10"/>
  <c r="C15" i="10"/>
  <c r="C10" i="10"/>
  <c r="G112" i="1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2" i="2"/>
  <c r="C120" i="2"/>
  <c r="C111" i="2"/>
  <c r="C56" i="2"/>
  <c r="F662" i="1"/>
  <c r="I662" i="1" s="1"/>
  <c r="H25" i="13"/>
  <c r="E81" i="2"/>
  <c r="F81" i="2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D103" i="2"/>
  <c r="D104" i="2" s="1"/>
  <c r="I140" i="1"/>
  <c r="A22" i="12"/>
  <c r="G50" i="2"/>
  <c r="G51" i="2" s="1"/>
  <c r="J652" i="1"/>
  <c r="J642" i="1"/>
  <c r="G571" i="1"/>
  <c r="I434" i="1"/>
  <c r="G434" i="1"/>
  <c r="I663" i="1"/>
  <c r="L408" i="1" l="1"/>
  <c r="G637" i="1" s="1"/>
  <c r="J637" i="1" s="1"/>
  <c r="C141" i="2"/>
  <c r="C144" i="2" s="1"/>
  <c r="C27" i="10"/>
  <c r="C28" i="10" s="1"/>
  <c r="D23" i="10" s="1"/>
  <c r="G472" i="1"/>
  <c r="F104" i="2"/>
  <c r="E104" i="2"/>
  <c r="F193" i="1"/>
  <c r="J647" i="1"/>
  <c r="H660" i="1"/>
  <c r="H664" i="1" s="1"/>
  <c r="H667" i="1" s="1"/>
  <c r="E145" i="2"/>
  <c r="G104" i="2"/>
  <c r="I193" i="1"/>
  <c r="G630" i="1" s="1"/>
  <c r="J630" i="1" s="1"/>
  <c r="C36" i="10"/>
  <c r="C63" i="2"/>
  <c r="C104" i="2" s="1"/>
  <c r="L545" i="1"/>
  <c r="C128" i="2"/>
  <c r="H648" i="1"/>
  <c r="J648" i="1" s="1"/>
  <c r="C115" i="2"/>
  <c r="L257" i="1"/>
  <c r="L271" i="1" s="1"/>
  <c r="G632" i="1" s="1"/>
  <c r="J632" i="1" s="1"/>
  <c r="G635" i="1"/>
  <c r="G664" i="1"/>
  <c r="I661" i="1"/>
  <c r="F51" i="2"/>
  <c r="E51" i="2"/>
  <c r="F664" i="1"/>
  <c r="D31" i="13"/>
  <c r="C31" i="13" s="1"/>
  <c r="L352" i="1"/>
  <c r="G633" i="1" s="1"/>
  <c r="J633" i="1" s="1"/>
  <c r="C25" i="13"/>
  <c r="H33" i="13"/>
  <c r="E33" i="13"/>
  <c r="D35" i="13" s="1"/>
  <c r="C51" i="2"/>
  <c r="G631" i="1"/>
  <c r="J631" i="1" s="1"/>
  <c r="G193" i="1"/>
  <c r="G626" i="1"/>
  <c r="J626" i="1" s="1"/>
  <c r="J52" i="1"/>
  <c r="H621" i="1" s="1"/>
  <c r="J621" i="1" s="1"/>
  <c r="C38" i="10"/>
  <c r="G628" i="1" l="1"/>
  <c r="G468" i="1"/>
  <c r="G627" i="1"/>
  <c r="F468" i="1"/>
  <c r="C145" i="2"/>
  <c r="H646" i="1"/>
  <c r="J646" i="1" s="1"/>
  <c r="H635" i="1"/>
  <c r="J635" i="1" s="1"/>
  <c r="G474" i="1"/>
  <c r="I660" i="1"/>
  <c r="I664" i="1" s="1"/>
  <c r="I672" i="1" s="1"/>
  <c r="C7" i="10" s="1"/>
  <c r="D33" i="13"/>
  <c r="D36" i="13" s="1"/>
  <c r="H672" i="1"/>
  <c r="C6" i="10" s="1"/>
  <c r="D13" i="10"/>
  <c r="D20" i="10"/>
  <c r="D18" i="10"/>
  <c r="D25" i="10"/>
  <c r="D21" i="10"/>
  <c r="D16" i="10"/>
  <c r="D12" i="10"/>
  <c r="D10" i="10"/>
  <c r="D26" i="10"/>
  <c r="D19" i="10"/>
  <c r="D15" i="10"/>
  <c r="D22" i="10"/>
  <c r="D11" i="10"/>
  <c r="D27" i="10"/>
  <c r="D17" i="10"/>
  <c r="D24" i="10"/>
  <c r="C30" i="10"/>
  <c r="G672" i="1"/>
  <c r="C5" i="10" s="1"/>
  <c r="G667" i="1"/>
  <c r="F672" i="1"/>
  <c r="C4" i="10" s="1"/>
  <c r="F667" i="1"/>
  <c r="C41" i="10"/>
  <c r="D38" i="10" s="1"/>
  <c r="G470" i="1" l="1"/>
  <c r="G476" i="1" s="1"/>
  <c r="H623" i="1" s="1"/>
  <c r="J623" i="1" s="1"/>
  <c r="H628" i="1"/>
  <c r="J628" i="1"/>
  <c r="H627" i="1"/>
  <c r="J627" i="1" s="1"/>
  <c r="F470" i="1"/>
  <c r="F476" i="1" s="1"/>
  <c r="H622" i="1" s="1"/>
  <c r="D28" i="10"/>
  <c r="I667" i="1"/>
  <c r="D37" i="10"/>
  <c r="D36" i="10"/>
  <c r="D35" i="10"/>
  <c r="D40" i="10"/>
  <c r="D39" i="10"/>
  <c r="J622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<sst xmlns="http://schemas.openxmlformats.org/spreadsheetml/2006/main" count="3959" uniqueCount="916">
  <si>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</si>
  <si>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</si>
  <si>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</si>
  <si>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</si>
  <si>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</si>
  <si>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</si>
  <si>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</si>
  <si>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</si>
  <si>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</si>
  <si>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</si>
  <si>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</si>
  <si>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</si>
  <si>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</si>
  <si>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</si>
  <si>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</si>
  <si>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</si>
  <si>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</si>
  <si>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</si>
  <si>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</si>
  <si>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</si>
  <si>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</si>
  <si>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</si>
  <si>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</si>
  <si>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</si>
  <si>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</si>
  <si>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</si>
  <si>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</si>
  <si>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</si>
  <si>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</si>
  <si>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</si>
  <si>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</si>
  <si>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</si>
  <si>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</si>
  <si>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</si>
  <si>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</si>
  <si>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</si>
  <si>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</si>
  <si>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</si>
  <si>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</si>
  <si>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</si>
  <si>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</si>
  <si>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</si>
  <si>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</si>
  <si>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</si>
  <si>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</si>
  <si>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</si>
  <si>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</si>
  <si>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</si>
  <si>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</si>
  <si>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</si>
  <si>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</si>
  <si>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</si>
  <si>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</si>
  <si>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</si>
  <si>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</si>
  <si>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</si>
  <si>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</si>
  <si>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</si>
  <si>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</si>
  <si>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</si>
  <si>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</si>
  <si>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</si>
  <si>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</si>
  <si>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</si>
  <si>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</si>
  <si>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</si>
  <si>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</si>
  <si>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</si>
  <si>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</si>
  <si>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</si>
  <si>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</si>
  <si>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</si>
  <si>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</si>
  <si>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</si>
  <si>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</si>
  <si>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</si>
  <si>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</si>
  <si>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</si>
  <si>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</si>
  <si>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</si>
  <si>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</si>
  <si>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</si>
  <si>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</si>
  <si>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</si>
  <si>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</si>
  <si>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</si>
  <si>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</si>
  <si>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</si>
  <si>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</si>
  <si>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</si>
  <si>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</si>
  <si>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</si>
  <si>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</si>
  <si>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</si>
  <si>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</si>
  <si>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</si>
  <si>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</si>
  <si>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</si>
  <si>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</si>
  <si>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</si>
  <si>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</si>
  <si>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</si>
  <si>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</si>
  <si>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</si>
  <si>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</si>
  <si>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</si>
  <si>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</si>
  <si>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</si>
  <si>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</si>
  <si>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</si>
  <si>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</si>
  <si>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</si>
  <si>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</si>
  <si>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</si>
  <si>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</si>
  <si>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</si>
  <si>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</si>
  <si>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</si>
  <si>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</si>
  <si>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</si>
  <si>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</si>
  <si>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</si>
  <si>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</si>
  <si>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</si>
  <si>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</si>
  <si>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</si>
  <si>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</si>
  <si>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</si>
  <si>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</si>
  <si>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</si>
  <si>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</si>
  <si>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</si>
  <si>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</si>
  <si>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</si>
  <si>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</si>
  <si>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</si>
  <si>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</si>
  <si>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</si>
  <si>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</si>
  <si>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</si>
  <si>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</si>
  <si>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</si>
  <si>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</si>
  <si>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</si>
  <si>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</si>
  <si>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</si>
  <si>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</si>
  <si>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</si>
  <si>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</si>
  <si>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</si>
  <si>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</si>
  <si>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</si>
  <si>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</si>
  <si>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</si>
  <si>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</si>
  <si>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</si>
  <si>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</si>
  <si>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</si>
  <si>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</si>
  <si>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</si>
  <si>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</si>
  <si>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</si>
  <si>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</si>
  <si>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</si>
  <si>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</si>
  <si>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</si>
  <si>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</si>
  <si>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</si>
  <si>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</si>
  <si>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</si>
  <si>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</si>
  <si>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</si>
  <si>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</si>
  <si>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</si>
  <si>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</si>
  <si>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</si>
  <si>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</si>
  <si>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</si>
  <si>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</si>
  <si>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</si>
  <si>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</si>
  <si>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</si>
  <si>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</si>
  <si>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</si>
  <si>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</si>
  <si>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</si>
  <si>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</si>
  <si>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</si>
  <si>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</si>
  <si>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</si>
  <si>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</si>
  <si>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</si>
  <si>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</si>
  <si>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</si>
  <si>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</si>
  <si>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</si>
  <si>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</si>
  <si>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</si>
  <si>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</si>
  <si>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</si>
  <si>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</si>
  <si>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</si>
  <si>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</si>
  <si>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</si>
  <si>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</si>
  <si>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</si>
  <si>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</si>
  <si>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</si>
  <si>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</si>
  <si>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</si>
  <si>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</si>
  <si>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</si>
  <si>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</si>
  <si>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</si>
  <si>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</si>
  <si>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</si>
  <si>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</si>
  <si>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</si>
  <si>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</si>
  <si>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</si>
  <si>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</si>
  <si>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</si>
  <si>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</si>
  <si>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</si>
  <si>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</si>
  <si>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</si>
  <si>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</si>
  <si>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</si>
  <si>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</si>
  <si>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</si>
  <si>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</si>
  <si>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</si>
  <si>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</si>
  <si>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</si>
  <si>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</si>
  <si>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</si>
  <si>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</si>
  <si>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</si>
  <si>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</si>
  <si>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</si>
  <si>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</si>
  <si>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</si>
  <si>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</si>
  <si>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</si>
  <si>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</si>
  <si>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</si>
  <si>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</si>
  <si>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</si>
  <si>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</si>
  <si>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</si>
  <si>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</si>
  <si>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</si>
  <si>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</si>
  <si>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</si>
  <si>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</si>
  <si>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</si>
  <si>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</si>
  <si>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</si>
  <si>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</si>
  <si>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</si>
  <si>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</si>
  <si>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</si>
  <si>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</si>
  <si>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</si>
  <si>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</si>
  <si>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</si>
  <si>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</si>
  <si>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</si>
  <si>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</si>
  <si>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</si>
  <si>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</si>
  <si>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</si>
  <si>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</si>
  <si>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</si>
  <si>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</si>
  <si>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</si>
  <si>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</si>
  <si>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</si>
  <si>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</si>
  <si>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</si>
  <si>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</si>
  <si>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</si>
  <si>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</si>
  <si>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</si>
  <si>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</si>
  <si>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</si>
  <si>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</si>
  <si>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</si>
  <si>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</si>
  <si>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</si>
  <si>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</si>
  <si>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</si>
  <si>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</si>
  <si>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</si>
  <si>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</si>
  <si>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</si>
  <si>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</si>
  <si>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</si>
  <si>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</si>
  <si>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</si>
  <si>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</si>
  <si>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</si>
  <si>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</si>
  <si>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</si>
  <si>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</si>
  <si>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</si>
  <si>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</si>
  <si>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</si>
  <si>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</si>
  <si>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</si>
  <si>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</si>
  <si>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</si>
  <si>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</si>
  <si>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</si>
  <si>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</si>
  <si>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</si>
  <si>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</si>
  <si>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</si>
  <si>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</si>
  <si>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</si>
  <si>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</si>
  <si>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</si>
  <si>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</si>
  <si>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</si>
  <si>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</si>
  <si>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</si>
  <si>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</si>
  <si>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</si>
  <si>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</si>
  <si>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</si>
  <si>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</si>
  <si>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</si>
  <si>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</si>
  <si>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</si>
  <si>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</si>
  <si>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</si>
  <si>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</si>
  <si>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</si>
  <si>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</si>
  <si>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</si>
  <si>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</si>
  <si>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</si>
  <si>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</si>
  <si>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</si>
  <si>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</si>
  <si>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</si>
  <si>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</si>
  <si>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</si>
  <si>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</si>
  <si>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</si>
  <si>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</si>
  <si>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</si>
  <si>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</si>
  <si>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</si>
  <si>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</si>
  <si>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</si>
  <si>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</si>
  <si>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</si>
  <si>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</si>
  <si>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</si>
  <si>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</si>
  <si>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</si>
  <si>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</si>
  <si>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</si>
  <si>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</si>
  <si>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</si>
  <si>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</si>
  <si>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</si>
  <si>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</si>
  <si>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</si>
  <si>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</si>
  <si>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</si>
  <si>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</si>
  <si>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</si>
  <si>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</si>
  <si>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</si>
  <si>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</si>
  <si>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</si>
  <si>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</si>
  <si>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</si>
  <si>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</si>
  <si>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</si>
  <si>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</si>
  <si>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</si>
  <si>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</si>
  <si>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</si>
  <si>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</si>
  <si>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</si>
  <si>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</si>
  <si>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</si>
  <si>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</si>
  <si>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</si>
  <si>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</si>
  <si>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</si>
  <si>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</si>
  <si>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</si>
  <si>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</si>
  <si>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</si>
  <si>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</si>
  <si>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</si>
  <si>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</si>
  <si>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</si>
  <si>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</si>
  <si>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</si>
  <si>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</si>
  <si>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</si>
  <si>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</si>
  <si>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</si>
  <si>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</si>
  <si>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</si>
  <si>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</si>
  <si>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</si>
  <si>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</si>
  <si>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</si>
  <si>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</si>
  <si>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</si>
  <si>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</si>
  <si>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</si>
  <si>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</si>
  <si>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</si>
  <si>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</si>
  <si>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</si>
  <si>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</si>
  <si>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</si>
  <si>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</si>
  <si>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</si>
  <si>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</si>
  <si>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</si>
  <si>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</si>
  <si>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</si>
  <si>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</si>
  <si>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</si>
  <si>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</si>
  <si>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</si>
  <si>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</si>
  <si>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</si>
  <si>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</si>
  <si>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</si>
  <si>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</si>
  <si>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</si>
  <si>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</si>
  <si>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</si>
  <si>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</si>
  <si>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</si>
  <si>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</si>
  <si>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</si>
  <si>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</si>
  <si>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</si>
  <si>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</si>
  <si>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</si>
  <si>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</si>
  <si>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</si>
  <si>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</si>
  <si>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</si>
  <si>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</si>
  <si>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</si>
  <si>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</si>
  <si>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</si>
  <si>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</si>
  <si>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</si>
  <si>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</si>
  <si>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</si>
  <si>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</si>
  <si>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</si>
  <si>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</si>
  <si>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</si>
  <si>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</si>
  <si>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</si>
  <si>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</si>
  <si>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</si>
  <si>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</si>
  <si>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</si>
  <si>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</si>
  <si>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</si>
  <si>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</si>
  <si>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</si>
  <si>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</si>
  <si>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</si>
  <si>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</si>
  <si>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</si>
  <si>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</si>
  <si>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</si>
  <si>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</si>
  <si>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</si>
  <si>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</si>
  <si>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</si>
  <si>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</si>
  <si>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</si>
  <si>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</si>
  <si>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</si>
  <si>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</si>
  <si>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</si>
  <si>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</si>
  <si>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</si>
  <si>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</si>
  <si>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</si>
  <si>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</si>
  <si>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</si>
  <si>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</si>
  <si>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</si>
  <si>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</si>
  <si>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</si>
  <si>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</si>
  <si>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</si>
  <si>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</si>
  <si>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</si>
  <si>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</si>
  <si>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</si>
  <si>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</si>
  <si>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</si>
  <si>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</si>
  <si>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</si>
  <si>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</si>
  <si>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</si>
  <si>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</si>
  <si>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</si>
  <si>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</si>
  <si>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</si>
  <si>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</si>
  <si>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</si>
  <si>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</si>
  <si>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</si>
  <si>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</si>
  <si>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</si>
  <si>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</si>
  <si>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</si>
  <si>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</si>
  <si>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</si>
  <si>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</si>
  <si>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</si>
  <si>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</si>
  <si>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</si>
  <si>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</si>
  <si>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</si>
  <si>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</si>
  <si>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</si>
  <si>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</si>
  <si>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</si>
  <si>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</si>
  <si>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</si>
  <si>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</si>
  <si>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</si>
  <si>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</si>
  <si>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</si>
  <si>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</si>
  <si>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</si>
  <si>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</si>
  <si>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</si>
  <si>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</si>
  <si>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</si>
  <si>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</si>
  <si>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</si>
  <si>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</si>
  <si>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</si>
  <si>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</si>
  <si>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</si>
  <si>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</si>
  <si>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</si>
  <si>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</si>
  <si>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</si>
  <si>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</si>
  <si>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</si>
  <si>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</si>
  <si>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</si>
  <si>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</si>
  <si>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</si>
  <si>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</si>
  <si>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</si>
  <si>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</si>
  <si>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</si>
  <si>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</si>
  <si>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</si>
  <si>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</si>
  <si>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</si>
  <si>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</si>
  <si>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</si>
  <si>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</si>
  <si>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</si>
  <si>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</si>
  <si>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</si>
  <si>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</si>
  <si>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</si>
  <si>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</si>
  <si>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</si>
  <si>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</si>
  <si>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</si>
  <si>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</si>
  <si>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</si>
  <si>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</si>
  <si>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</si>
  <si>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</si>
  <si>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</si>
  <si>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</si>
  <si>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</si>
  <si>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</si>
  <si>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</si>
  <si>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</si>
  <si>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</si>
  <si>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</si>
  <si>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</si>
  <si>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</si>
  <si>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</si>
  <si>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</si>
  <si>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</si>
  <si>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</si>
  <si>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</si>
  <si>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</si>
  <si>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</si>
  <si>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</si>
  <si>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</si>
  <si>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</si>
  <si>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</si>
  <si>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</si>
  <si>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</si>
  <si>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</si>
  <si>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</si>
  <si>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</si>
  <si>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</si>
  <si>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</si>
  <si>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</si>
  <si>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</si>
  <si>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</si>
  <si>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</si>
  <si>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</si>
  <si>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</si>
  <si>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</si>
  <si>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</si>
  <si>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</si>
  <si>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</si>
  <si>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</si>
  <si>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</si>
  <si>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</si>
  <si>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</si>
  <si>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</si>
  <si>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</si>
  <si>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</si>
  <si>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</si>
  <si>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</si>
  <si>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</si>
  <si>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</si>
  <si>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</si>
  <si>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</si>
  <si>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</si>
  <si>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</si>
  <si>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</si>
  <si>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</si>
  <si>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</si>
  <si>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</si>
  <si>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</si>
  <si>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</si>
  <si>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</si>
  <si>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</si>
  <si>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</si>
  <si>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</si>
  <si>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</si>
  <si>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</si>
  <si>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</si>
  <si>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</si>
  <si>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</si>
  <si>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</si>
  <si>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</si>
  <si>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</si>
  <si>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</si>
  <si>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</si>
  <si>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</si>
  <si>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</si>
  <si>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</si>
  <si>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</si>
  <si>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</si>
  <si>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</si>
  <si>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</si>
  <si>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</si>
  <si>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</si>
  <si>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</si>
  <si>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</si>
  <si>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</si>
  <si>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</si>
  <si>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</si>
  <si>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</si>
  <si>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</si>
  <si>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</si>
  <si>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</si>
  <si>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</si>
  <si>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</si>
  <si>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</si>
  <si>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</si>
  <si>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</si>
  <si>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</si>
  <si>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</si>
  <si>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</si>
  <si>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</si>
  <si>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</si>
  <si>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</si>
  <si>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</si>
  <si>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</si>
  <si>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</si>
  <si>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</si>
  <si>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</si>
  <si>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</si>
  <si>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</si>
  <si>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</si>
  <si>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</si>
  <si>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</si>
  <si>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</si>
  <si>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</si>
  <si>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</si>
  <si>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</si>
  <si>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</si>
  <si>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</si>
  <si>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</si>
  <si>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</si>
  <si>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</si>
  <si>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</si>
  <si>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</si>
  <si>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</si>
  <si>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</si>
  <si>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</si>
  <si>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</si>
  <si>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</si>
  <si>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</si>
  <si>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</si>
  <si>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</si>
  <si>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</si>
  <si>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</si>
  <si>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</si>
  <si>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</si>
  <si>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</si>
  <si>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</si>
  <si>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</si>
  <si>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</si>
  <si>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</si>
  <si>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</si>
  <si>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</si>
  <si>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</si>
  <si>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</si>
  <si>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</si>
  <si>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</si>
  <si>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</si>
  <si>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</si>
  <si>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</si>
  <si>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</si>
  <si>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</si>
  <si>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</si>
  <si>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</si>
  <si>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</si>
  <si>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</si>
  <si>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</si>
  <si>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</si>
  <si>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</si>
  <si>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</si>
  <si>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</si>
  <si>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</si>
  <si>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</si>
  <si>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</si>
  <si>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</si>
  <si>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</si>
  <si>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</si>
  <si>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</si>
  <si>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</si>
  <si>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</si>
  <si>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</si>
  <si>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</si>
  <si>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</si>
  <si>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</si>
  <si>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</si>
  <si>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</si>
  <si>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</si>
  <si>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</si>
  <si>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</si>
  <si>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</si>
  <si>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</si>
  <si>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</si>
  <si>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</si>
  <si>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</si>
  <si>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</si>
  <si>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</si>
  <si>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</si>
  <si>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</si>
  <si>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</si>
  <si>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</si>
  <si>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</si>
  <si>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</si>
  <si>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</si>
  <si>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</si>
  <si>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</si>
  <si>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</si>
  <si>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</si>
  <si>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</si>
  <si>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</si>
  <si>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</si>
  <si>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</si>
  <si>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</si>
  <si>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</si>
  <si>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</si>
  <si>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</si>
  <si>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</si>
  <si>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</si>
  <si>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</si>
  <si>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</si>
  <si>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</si>
  <si>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</si>
  <si>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</si>
  <si>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</si>
  <si>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</si>
  <si>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</si>
  <si>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</si>
  <si>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</si>
  <si>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</si>
  <si>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</si>
  <si>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</si>
  <si>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</si>
  <si>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</si>
  <si>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</si>
  <si>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</si>
  <si>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</si>
  <si>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</si>
  <si>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</si>
  <si>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</si>
  <si>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</si>
  <si>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</si>
  <si>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</si>
  <si>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</si>
  <si>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</si>
  <si>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</si>
  <si>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</si>
  <si>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</si>
  <si>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</si>
  <si>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</si>
  <si>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</si>
  <si>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</si>
  <si>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</si>
  <si>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</si>
  <si>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</si>
  <si>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</si>
  <si>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</si>
  <si>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</si>
  <si>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</si>
  <si>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</si>
  <si>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</si>
  <si>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</si>
  <si>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</si>
  <si>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</si>
  <si>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</si>
  <si>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</si>
  <si>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</si>
  <si>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</si>
  <si>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</si>
  <si>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</si>
  <si>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</si>
  <si>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</si>
  <si>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</si>
  <si>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</si>
  <si>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</si>
  <si>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</si>
  <si>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</si>
  <si>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</si>
  <si>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</si>
  <si>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</si>
  <si>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</si>
  <si>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</si>
  <si>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</si>
  <si>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</si>
  <si>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</si>
  <si>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</si>
  <si>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</si>
  <si>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</si>
  <si>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</si>
  <si>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</si>
  <si>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</si>
  <si>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</si>
  <si>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</si>
  <si>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</si>
  <si>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</si>
  <si>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</si>
  <si>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</si>
  <si>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</si>
  <si>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</si>
  <si>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</si>
  <si>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</si>
  <si>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</si>
  <si>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</si>
  <si>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</si>
  <si>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</si>
  <si>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</si>
  <si>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</si>
  <si>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</si>
  <si>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</si>
  <si>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</si>
  <si>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</si>
  <si>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</si>
  <si>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</si>
  <si>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</si>
  <si>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</si>
  <si>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</si>
  <si>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</si>
  <si>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</si>
  <si>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</si>
  <si>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</si>
  <si>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</si>
  <si>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</si>
  <si>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</si>
  <si>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</si>
  <si>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</si>
  <si>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</si>
  <si>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</si>
  <si>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</si>
  <si>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</si>
  <si>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</si>
  <si>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</si>
  <si>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</si>
  <si>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</si>
  <si>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</si>
  <si>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Agency Funds</t>
  </si>
  <si>
    <t>07/13</t>
  </si>
  <si>
    <t>08/20</t>
  </si>
  <si>
    <t>SOUHEGAN COOPERATIVE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</si>
</sst>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493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217106.04</v>
      </c>
      <c r="G9" s="18">
        <v>0</v>
      </c>
      <c r="H9" s="18">
        <v>0</v>
      </c>
      <c r="I9" s="18">
        <v>32235.91</v>
      </c>
      <c r="J9" s="67">
        <f>SUM(I439)</f>
        <v>180197.57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608883.43000000005</v>
      </c>
      <c r="G10" s="18">
        <v>0</v>
      </c>
      <c r="H10" s="18">
        <v>0</v>
      </c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59954.71</v>
      </c>
      <c r="G12" s="18">
        <v>3056.24</v>
      </c>
      <c r="H12" s="18">
        <v>0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41842.18</v>
      </c>
      <c r="G13" s="18">
        <v>12197.49</v>
      </c>
      <c r="H13" s="18">
        <v>64814.66</v>
      </c>
      <c r="I13" s="18"/>
      <c r="J13" s="67">
        <f>SUM(I442)</f>
        <v>465094.72000000003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3736.84</v>
      </c>
      <c r="G14" s="18">
        <v>40.409999999999997</v>
      </c>
      <c r="H14" s="18">
        <v>0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1082.82</v>
      </c>
      <c r="G17" s="18">
        <v>0</v>
      </c>
      <c r="H17" s="18">
        <v>0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932606.02</v>
      </c>
      <c r="G19" s="41">
        <f>SUM(G9:G18)</f>
        <v>15294.14</v>
      </c>
      <c r="H19" s="41">
        <f>SUM(H9:H18)</f>
        <v>64814.66</v>
      </c>
      <c r="I19" s="41">
        <f>SUM(I9:I18)</f>
        <v>32235.91</v>
      </c>
      <c r="J19" s="41">
        <f>SUM(J9:J18)</f>
        <v>645292.29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61818.2</v>
      </c>
      <c r="I22" s="18">
        <v>50</v>
      </c>
      <c r="J22" s="67">
        <f>SUM(I448)</f>
        <v>1142.75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3721.99</v>
      </c>
      <c r="G23" s="18">
        <v>0</v>
      </c>
      <c r="H23" s="18">
        <v>0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261973.21</v>
      </c>
      <c r="G24" s="18">
        <v>0</v>
      </c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>
        <v>0</v>
      </c>
      <c r="H25" s="18">
        <v>0</v>
      </c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42322.39</v>
      </c>
      <c r="G28" s="18">
        <v>0</v>
      </c>
      <c r="H28" s="18">
        <v>0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12537.3</v>
      </c>
      <c r="G29" s="18">
        <v>0</v>
      </c>
      <c r="H29" s="18">
        <v>0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2131.4699999999998</v>
      </c>
      <c r="G30" s="18">
        <v>15294.14</v>
      </c>
      <c r="H30" s="18">
        <v>2996.46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/>
      <c r="J31" s="67">
        <f>SUM(I451)</f>
        <v>180197.57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322686.36</v>
      </c>
      <c r="G32" s="41">
        <f>SUM(G22:G31)</f>
        <v>15294.14</v>
      </c>
      <c r="H32" s="41">
        <f>SUM(H22:H31)</f>
        <v>64814.659999999996</v>
      </c>
      <c r="I32" s="41">
        <f>SUM(I22:I31)</f>
        <v>50</v>
      </c>
      <c r="J32" s="41">
        <f>SUM(J22:J31)</f>
        <v>181340.32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0</v>
      </c>
      <c r="H48" s="18">
        <v>0</v>
      </c>
      <c r="I48" s="18">
        <f>32235.91-50</f>
        <v>32185.91</v>
      </c>
      <c r="J48" s="13">
        <f>SUM(I459)</f>
        <v>463951.97000000003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609919.29+0.37-65000</f>
        <v>544919.66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609919.66</v>
      </c>
      <c r="G51" s="41">
        <f>SUM(G35:G50)</f>
        <v>0</v>
      </c>
      <c r="H51" s="41">
        <f>SUM(H35:H50)</f>
        <v>0</v>
      </c>
      <c r="I51" s="41">
        <f>SUM(I35:I50)</f>
        <v>32185.91</v>
      </c>
      <c r="J51" s="41">
        <f>SUM(J35:J50)</f>
        <v>463951.97000000003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932606.02</v>
      </c>
      <c r="G52" s="41">
        <f>G51+G32</f>
        <v>15294.14</v>
      </c>
      <c r="H52" s="41">
        <f>H51+H32</f>
        <v>64814.659999999996</v>
      </c>
      <c r="I52" s="41">
        <f>I51+I32</f>
        <v>32235.91</v>
      </c>
      <c r="J52" s="41">
        <f>J51+J32</f>
        <v>645292.29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12574648.07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12574648.07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80854.31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5233.33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7027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41842.54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134957.18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6017.99</v>
      </c>
      <c r="G96" s="18"/>
      <c r="H96" s="18"/>
      <c r="I96" s="18">
        <v>4.92</v>
      </c>
      <c r="J96" s="18">
        <v>11544.29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344035.86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136098.38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8001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/>
      <c r="H102" s="18">
        <v>35570.26</v>
      </c>
      <c r="I102" s="18">
        <v>25000</v>
      </c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>
        <v>0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1004.25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2738.49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84.09</v>
      </c>
      <c r="G110" s="18">
        <v>2056.52</v>
      </c>
      <c r="H110" s="18"/>
      <c r="I110" s="18"/>
      <c r="J110" s="18">
        <v>12179.47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153944.19999999998</v>
      </c>
      <c r="G111" s="41">
        <f>SUM(G96:G110)</f>
        <v>346092.38</v>
      </c>
      <c r="H111" s="41">
        <f>SUM(H96:H110)</f>
        <v>35570.26</v>
      </c>
      <c r="I111" s="41">
        <f>SUM(I96:I110)</f>
        <v>25004.92</v>
      </c>
      <c r="J111" s="41">
        <f>SUM(J96:J110)</f>
        <v>23723.760000000002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12863549.449999999</v>
      </c>
      <c r="G112" s="41">
        <f>G60+G111</f>
        <v>346092.38</v>
      </c>
      <c r="H112" s="41">
        <f>H60+H79+H94+H111</f>
        <v>35570.26</v>
      </c>
      <c r="I112" s="41">
        <f>I60+I111</f>
        <v>25004.92</v>
      </c>
      <c r="J112" s="41">
        <f>J60+J111</f>
        <v>23723.760000000002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1805806.22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1643701.06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282.3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3449789.58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458384.27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5614.21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987.96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463998.48000000004</v>
      </c>
      <c r="G136" s="41">
        <f>SUM(G123:G135)</f>
        <v>987.96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3913788.06</v>
      </c>
      <c r="G140" s="41">
        <f>G121+SUM(G136:G137)</f>
        <v>987.96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23029.360000000001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27830.65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28311.97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135010.92000000001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127192.54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127192.54</v>
      </c>
      <c r="G162" s="41">
        <f>SUM(G150:G161)</f>
        <v>28311.97</v>
      </c>
      <c r="H162" s="41">
        <f>SUM(H150:H161)</f>
        <v>185870.93000000002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127192.54</v>
      </c>
      <c r="G169" s="41">
        <f>G147+G162+SUM(G163:G168)</f>
        <v>28311.97</v>
      </c>
      <c r="H169" s="41">
        <f>H147+H162+SUM(H163:H168)</f>
        <v>185870.93000000002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14651.95</v>
      </c>
      <c r="H179" s="18"/>
      <c r="I179" s="18"/>
      <c r="J179" s="18">
        <v>65000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14651.95</v>
      </c>
      <c r="H183" s="41">
        <f>SUM(H179:H182)</f>
        <v>0</v>
      </c>
      <c r="I183" s="41">
        <f>SUM(I179:I182)</f>
        <v>0</v>
      </c>
      <c r="J183" s="41">
        <f>SUM(J179:J182)</f>
        <v>65000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110000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110000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110000</v>
      </c>
      <c r="G192" s="41">
        <f>G183+SUM(G188:G191)</f>
        <v>14651.95</v>
      </c>
      <c r="H192" s="41">
        <f>+H183+SUM(H188:H191)</f>
        <v>0</v>
      </c>
      <c r="I192" s="41">
        <f>I177+I183+SUM(I188:I191)</f>
        <v>0</v>
      </c>
      <c r="J192" s="41">
        <f>J183</f>
        <v>65000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17014530.049999997</v>
      </c>
      <c r="G193" s="47">
        <f>G112+G140+G169+G192</f>
        <v>390044.26000000007</v>
      </c>
      <c r="H193" s="47">
        <f>H112+H140+H169+H192</f>
        <v>221441.19000000003</v>
      </c>
      <c r="I193" s="47">
        <f>I112+I140+I169+I192</f>
        <v>25004.92</v>
      </c>
      <c r="J193" s="47">
        <f>J112+J140+J192</f>
        <v>88723.760000000009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4981674.21</v>
      </c>
      <c r="G233" s="18">
        <v>1882607.1</v>
      </c>
      <c r="H233" s="18">
        <v>39842.43</v>
      </c>
      <c r="I233" s="18">
        <v>168623.84</v>
      </c>
      <c r="J233" s="18">
        <v>185853.76</v>
      </c>
      <c r="K233" s="18">
        <v>1446.75</v>
      </c>
      <c r="L233" s="19">
        <f>SUM(F233:K233)</f>
        <v>7260048.0899999999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1350013.15</v>
      </c>
      <c r="G234" s="18">
        <v>587885.43999999994</v>
      </c>
      <c r="H234" s="18">
        <v>499140.45</v>
      </c>
      <c r="I234" s="18">
        <v>11870.89</v>
      </c>
      <c r="J234" s="18">
        <v>3274.24</v>
      </c>
      <c r="K234" s="18">
        <v>150</v>
      </c>
      <c r="L234" s="19">
        <f>SUM(F234:K234)</f>
        <v>2452334.1700000004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301873.38</v>
      </c>
      <c r="G236" s="18">
        <v>57422.07</v>
      </c>
      <c r="H236" s="18">
        <v>144149.95000000001</v>
      </c>
      <c r="I236" s="18">
        <v>50908.69</v>
      </c>
      <c r="J236" s="18">
        <v>26338.23</v>
      </c>
      <c r="K236" s="18">
        <v>20505</v>
      </c>
      <c r="L236" s="19">
        <f>SUM(F236:K236)</f>
        <v>601197.32000000007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876642.18</v>
      </c>
      <c r="G238" s="18">
        <v>363952.45</v>
      </c>
      <c r="H238" s="18">
        <v>476923.35</v>
      </c>
      <c r="I238" s="18">
        <v>9016.5400000000009</v>
      </c>
      <c r="J238" s="18">
        <v>2480.48</v>
      </c>
      <c r="K238" s="18">
        <v>1390</v>
      </c>
      <c r="L238" s="19">
        <f t="shared" ref="L238:L244" si="4">SUM(F238:K238)</f>
        <v>1730405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273293.32</v>
      </c>
      <c r="G239" s="18">
        <v>155678.45000000001</v>
      </c>
      <c r="H239" s="18">
        <v>3258.98</v>
      </c>
      <c r="I239" s="18">
        <v>51629.18</v>
      </c>
      <c r="J239" s="18">
        <v>1749.92</v>
      </c>
      <c r="K239" s="18">
        <v>320</v>
      </c>
      <c r="L239" s="19">
        <f t="shared" si="4"/>
        <v>485929.85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8808.6200000000008</v>
      </c>
      <c r="G240" s="18">
        <v>701.17</v>
      </c>
      <c r="H240" s="18">
        <v>850201.23</v>
      </c>
      <c r="I240" s="18">
        <v>166.24</v>
      </c>
      <c r="J240" s="18">
        <v>0</v>
      </c>
      <c r="K240" s="18">
        <v>4990.88</v>
      </c>
      <c r="L240" s="19">
        <f t="shared" si="4"/>
        <v>864868.14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481677.9</v>
      </c>
      <c r="G241" s="18">
        <v>193378</v>
      </c>
      <c r="H241" s="18">
        <v>43216.61</v>
      </c>
      <c r="I241" s="18">
        <v>14357.76</v>
      </c>
      <c r="J241" s="18">
        <v>14755.78</v>
      </c>
      <c r="K241" s="18">
        <v>12721.4</v>
      </c>
      <c r="L241" s="19">
        <f t="shared" si="4"/>
        <v>760107.45000000007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2663.25</v>
      </c>
      <c r="I242" s="18">
        <v>0</v>
      </c>
      <c r="J242" s="18">
        <v>0</v>
      </c>
      <c r="K242" s="18">
        <v>0</v>
      </c>
      <c r="L242" s="19">
        <f t="shared" si="4"/>
        <v>2663.25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406947.78</v>
      </c>
      <c r="G243" s="18">
        <v>193900.04</v>
      </c>
      <c r="H243" s="18">
        <v>276681.07</v>
      </c>
      <c r="I243" s="18">
        <v>276778.71999999997</v>
      </c>
      <c r="J243" s="18">
        <v>55381.9</v>
      </c>
      <c r="K243" s="18">
        <v>49.75</v>
      </c>
      <c r="L243" s="19">
        <f t="shared" si="4"/>
        <v>1209739.26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840116.08</v>
      </c>
      <c r="I244" s="18">
        <v>102.73</v>
      </c>
      <c r="J244" s="18">
        <v>0</v>
      </c>
      <c r="K244" s="18">
        <v>0</v>
      </c>
      <c r="L244" s="19">
        <f t="shared" si="4"/>
        <v>840218.80999999994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177745.84</v>
      </c>
      <c r="G245" s="18">
        <v>54713.9</v>
      </c>
      <c r="H245" s="18">
        <v>16180.08</v>
      </c>
      <c r="I245" s="18">
        <v>38422.33</v>
      </c>
      <c r="J245" s="18">
        <v>74606.52</v>
      </c>
      <c r="K245" s="18">
        <v>0</v>
      </c>
      <c r="L245" s="19">
        <f>SUM(F245:K245)</f>
        <v>361668.67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8858676.379999999</v>
      </c>
      <c r="G247" s="41">
        <f t="shared" si="5"/>
        <v>3490238.62</v>
      </c>
      <c r="H247" s="41">
        <f t="shared" si="5"/>
        <v>3192373.4800000004</v>
      </c>
      <c r="I247" s="41">
        <f t="shared" si="5"/>
        <v>621876.91999999993</v>
      </c>
      <c r="J247" s="41">
        <f t="shared" si="5"/>
        <v>364440.83000000007</v>
      </c>
      <c r="K247" s="41">
        <f t="shared" si="5"/>
        <v>41573.78</v>
      </c>
      <c r="L247" s="41">
        <f t="shared" si="5"/>
        <v>16569180.01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4395</v>
      </c>
      <c r="G251" s="18">
        <v>381.89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4776.8900000000003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v>273381.90999999997</v>
      </c>
      <c r="K255" s="18"/>
      <c r="L255" s="19">
        <f t="shared" si="6"/>
        <v>273381.90999999997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4395</v>
      </c>
      <c r="G256" s="41">
        <f t="shared" si="7"/>
        <v>381.89</v>
      </c>
      <c r="H256" s="41">
        <f t="shared" si="7"/>
        <v>0</v>
      </c>
      <c r="I256" s="41">
        <f t="shared" si="7"/>
        <v>0</v>
      </c>
      <c r="J256" s="41">
        <f t="shared" si="7"/>
        <v>273381.90999999997</v>
      </c>
      <c r="K256" s="41">
        <f t="shared" si="7"/>
        <v>0</v>
      </c>
      <c r="L256" s="41">
        <f>SUM(F256:K256)</f>
        <v>278158.8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8863071.379999999</v>
      </c>
      <c r="G257" s="41">
        <f t="shared" si="8"/>
        <v>3490620.5100000002</v>
      </c>
      <c r="H257" s="41">
        <f t="shared" si="8"/>
        <v>3192373.4800000004</v>
      </c>
      <c r="I257" s="41">
        <f t="shared" si="8"/>
        <v>621876.91999999993</v>
      </c>
      <c r="J257" s="41">
        <f t="shared" si="8"/>
        <v>637822.74</v>
      </c>
      <c r="K257" s="41">
        <f t="shared" si="8"/>
        <v>41573.78</v>
      </c>
      <c r="L257" s="41">
        <f t="shared" si="8"/>
        <v>16847338.809999999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155000</v>
      </c>
      <c r="L260" s="19">
        <f>SUM(F260:K260)</f>
        <v>155000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46190</v>
      </c>
      <c r="L261" s="19">
        <f>SUM(F261:K261)</f>
        <v>46190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14651.95</v>
      </c>
      <c r="L263" s="19">
        <f>SUM(F263:K263)</f>
        <v>14651.95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65000</v>
      </c>
      <c r="L266" s="19">
        <f t="shared" si="9"/>
        <v>65000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280841.95</v>
      </c>
      <c r="L270" s="41">
        <f t="shared" si="9"/>
        <v>280841.95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8863071.379999999</v>
      </c>
      <c r="G271" s="42">
        <f t="shared" si="11"/>
        <v>3490620.5100000002</v>
      </c>
      <c r="H271" s="42">
        <f t="shared" si="11"/>
        <v>3192373.4800000004</v>
      </c>
      <c r="I271" s="42">
        <f t="shared" si="11"/>
        <v>621876.91999999993</v>
      </c>
      <c r="J271" s="42">
        <f t="shared" si="11"/>
        <v>637822.74</v>
      </c>
      <c r="K271" s="42">
        <f t="shared" si="11"/>
        <v>322415.73</v>
      </c>
      <c r="L271" s="42">
        <f t="shared" si="11"/>
        <v>17128180.759999998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12900</v>
      </c>
      <c r="G314" s="18">
        <v>2624.42</v>
      </c>
      <c r="H314" s="18">
        <v>600</v>
      </c>
      <c r="I314" s="18">
        <v>2329.42</v>
      </c>
      <c r="J314" s="18">
        <v>3412.98</v>
      </c>
      <c r="K314" s="18">
        <v>0</v>
      </c>
      <c r="L314" s="19">
        <f>SUM(F314:K314)</f>
        <v>21866.82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110643</v>
      </c>
      <c r="G315" s="18">
        <v>24242.92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134885.91999999998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0</v>
      </c>
      <c r="G319" s="18">
        <v>0</v>
      </c>
      <c r="H319" s="18">
        <v>1159</v>
      </c>
      <c r="I319" s="18">
        <v>315.14999999999998</v>
      </c>
      <c r="J319" s="18">
        <v>0</v>
      </c>
      <c r="K319" s="18">
        <v>0</v>
      </c>
      <c r="L319" s="19">
        <f t="shared" ref="L319:L325" si="16">SUM(F319:K319)</f>
        <v>1474.15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14000</v>
      </c>
      <c r="G320" s="18">
        <v>2961.07</v>
      </c>
      <c r="H320" s="18">
        <v>13308.18</v>
      </c>
      <c r="I320" s="18">
        <v>0</v>
      </c>
      <c r="J320" s="18">
        <v>0</v>
      </c>
      <c r="K320" s="18">
        <v>0</v>
      </c>
      <c r="L320" s="19">
        <f t="shared" si="16"/>
        <v>30269.25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23350</v>
      </c>
      <c r="G326" s="18">
        <v>5161.45</v>
      </c>
      <c r="H326" s="18">
        <v>3398.91</v>
      </c>
      <c r="I326" s="18">
        <v>1034.69</v>
      </c>
      <c r="J326" s="18">
        <v>0</v>
      </c>
      <c r="K326" s="18">
        <v>0</v>
      </c>
      <c r="L326" s="19">
        <f>SUM(F326:K326)</f>
        <v>32945.050000000003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160893</v>
      </c>
      <c r="G328" s="42">
        <f t="shared" si="17"/>
        <v>34989.859999999993</v>
      </c>
      <c r="H328" s="42">
        <f t="shared" si="17"/>
        <v>18466.09</v>
      </c>
      <c r="I328" s="42">
        <f t="shared" si="17"/>
        <v>3679.26</v>
      </c>
      <c r="J328" s="42">
        <f t="shared" si="17"/>
        <v>3412.98</v>
      </c>
      <c r="K328" s="42">
        <f t="shared" si="17"/>
        <v>0</v>
      </c>
      <c r="L328" s="41">
        <f t="shared" si="17"/>
        <v>221441.19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160893</v>
      </c>
      <c r="G338" s="41">
        <f t="shared" si="20"/>
        <v>34989.859999999993</v>
      </c>
      <c r="H338" s="41">
        <f t="shared" si="20"/>
        <v>18466.09</v>
      </c>
      <c r="I338" s="41">
        <f t="shared" si="20"/>
        <v>3679.26</v>
      </c>
      <c r="J338" s="41">
        <f t="shared" si="20"/>
        <v>3412.98</v>
      </c>
      <c r="K338" s="41">
        <f t="shared" si="20"/>
        <v>0</v>
      </c>
      <c r="L338" s="41">
        <f t="shared" si="20"/>
        <v>221441.19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160893</v>
      </c>
      <c r="G352" s="41">
        <f>G338</f>
        <v>34989.859999999993</v>
      </c>
      <c r="H352" s="41">
        <f>H338</f>
        <v>18466.09</v>
      </c>
      <c r="I352" s="41">
        <f>I338</f>
        <v>3679.26</v>
      </c>
      <c r="J352" s="41">
        <f>J338</f>
        <v>3412.98</v>
      </c>
      <c r="K352" s="47">
        <f>K338+K351</f>
        <v>0</v>
      </c>
      <c r="L352" s="41">
        <f>L338+L351</f>
        <v>221441.19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160927.09</v>
      </c>
      <c r="G360" s="18">
        <v>73521.33</v>
      </c>
      <c r="H360" s="18">
        <v>1273.8399999999999</v>
      </c>
      <c r="I360" s="18">
        <v>143848.5</v>
      </c>
      <c r="J360" s="18">
        <v>10317.69</v>
      </c>
      <c r="K360" s="18">
        <f>80.16+75.65</f>
        <v>155.81</v>
      </c>
      <c r="L360" s="19">
        <f>SUM(F360:K360)</f>
        <v>390044.26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160927.09</v>
      </c>
      <c r="G362" s="47">
        <f t="shared" si="22"/>
        <v>73521.33</v>
      </c>
      <c r="H362" s="47">
        <f t="shared" si="22"/>
        <v>1273.8399999999999</v>
      </c>
      <c r="I362" s="47">
        <f t="shared" si="22"/>
        <v>143848.5</v>
      </c>
      <c r="J362" s="47">
        <f t="shared" si="22"/>
        <v>10317.69</v>
      </c>
      <c r="K362" s="47">
        <f t="shared" si="22"/>
        <v>155.81</v>
      </c>
      <c r="L362" s="47">
        <f t="shared" si="22"/>
        <v>390044.26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>
        <v>133831.87</v>
      </c>
      <c r="I367" s="56">
        <f>SUM(F367:H367)</f>
        <v>133831.87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>
        <v>10016.629999999999</v>
      </c>
      <c r="I368" s="56">
        <f>SUM(F368:H368)</f>
        <v>10016.629999999999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143848.5</v>
      </c>
      <c r="I369" s="47">
        <f>SUM(I367:I368)</f>
        <v>143848.5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65000</v>
      </c>
      <c r="H396" s="18">
        <v>364.56</v>
      </c>
      <c r="I396" s="18"/>
      <c r="J396" s="24" t="s">
        <v>289</v>
      </c>
      <c r="K396" s="24" t="s">
        <v>289</v>
      </c>
      <c r="L396" s="56">
        <f t="shared" si="26"/>
        <v>65364.56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6259.26</v>
      </c>
      <c r="I397" s="18"/>
      <c r="J397" s="24" t="s">
        <v>289</v>
      </c>
      <c r="K397" s="24" t="s">
        <v>289</v>
      </c>
      <c r="L397" s="56">
        <f t="shared" si="26"/>
        <v>6259.26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f>129.38+4791.09</f>
        <v>4920.47</v>
      </c>
      <c r="I400" s="18">
        <v>0</v>
      </c>
      <c r="J400" s="24" t="s">
        <v>289</v>
      </c>
      <c r="K400" s="24" t="s">
        <v>289</v>
      </c>
      <c r="L400" s="56">
        <f t="shared" si="26"/>
        <v>4920.47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65000</v>
      </c>
      <c r="H401" s="47">
        <f>SUM(H395:H400)</f>
        <v>11544.29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76544.289999999994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 t="s">
        <v>912</v>
      </c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>
        <v>12179.47</v>
      </c>
      <c r="J403" s="24" t="s">
        <v>289</v>
      </c>
      <c r="K403" s="24" t="s">
        <v>289</v>
      </c>
      <c r="L403" s="56">
        <f>SUM(F403:K403)</f>
        <v>12179.47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12179.47</v>
      </c>
      <c r="J407" s="49" t="s">
        <v>289</v>
      </c>
      <c r="K407" s="49" t="s">
        <v>289</v>
      </c>
      <c r="L407" s="47">
        <f>SUM(L403:L406)</f>
        <v>12179.47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65000</v>
      </c>
      <c r="H408" s="47">
        <f>H393+H401+H407</f>
        <v>11544.29</v>
      </c>
      <c r="I408" s="47">
        <f>I393+I401+I407</f>
        <v>12179.47</v>
      </c>
      <c r="J408" s="24" t="s">
        <v>289</v>
      </c>
      <c r="K408" s="24" t="s">
        <v>289</v>
      </c>
      <c r="L408" s="47">
        <f>L393+L401+L407</f>
        <v>88723.76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>
        <v>110000</v>
      </c>
      <c r="L417" s="56">
        <f t="shared" si="27"/>
        <v>110000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110000</v>
      </c>
      <c r="L419" s="47">
        <f t="shared" si="28"/>
        <v>110000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912</v>
      </c>
      <c r="B429" s="6">
        <v>17</v>
      </c>
      <c r="C429" s="6">
        <v>15</v>
      </c>
      <c r="D429" s="2" t="s">
        <v>433</v>
      </c>
      <c r="E429" s="6"/>
      <c r="F429" s="18">
        <v>10180</v>
      </c>
      <c r="G429" s="18">
        <v>1999.47</v>
      </c>
      <c r="H429" s="18"/>
      <c r="I429" s="18"/>
      <c r="J429" s="18"/>
      <c r="K429" s="18"/>
      <c r="L429" s="56">
        <f>SUM(F429:K429)</f>
        <v>12179.47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10180</v>
      </c>
      <c r="G433" s="47">
        <f t="shared" si="31"/>
        <v>1999.47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12179.47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10180</v>
      </c>
      <c r="G434" s="47">
        <f t="shared" si="32"/>
        <v>1999.47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110000</v>
      </c>
      <c r="L434" s="47">
        <f t="shared" si="32"/>
        <v>122179.47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>
        <f>173276.4+6921.17</f>
        <v>180197.57</v>
      </c>
      <c r="I439" s="56">
        <f t="shared" ref="I439:I445" si="33">SUM(F439:H439)</f>
        <v>180197.57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463537.28</v>
      </c>
      <c r="H442" s="18">
        <v>1557.44</v>
      </c>
      <c r="I442" s="56">
        <f t="shared" si="33"/>
        <v>465094.72000000003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463537.28</v>
      </c>
      <c r="H446" s="13">
        <f>SUM(H439:H445)</f>
        <v>181755.01</v>
      </c>
      <c r="I446" s="13">
        <f>SUM(I439:I445)</f>
        <v>645292.29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>
        <v>1142.75</v>
      </c>
      <c r="I448" s="56">
        <f>SUM(F448:H448)</f>
        <v>1142.75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>
        <f>173276.4+6921.17</f>
        <v>180197.57</v>
      </c>
      <c r="I451" s="56">
        <f>SUM(F451:H451)</f>
        <v>180197.57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181340.32</v>
      </c>
      <c r="I452" s="72">
        <f>SUM(I448:I451)</f>
        <v>181340.32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0</v>
      </c>
      <c r="G459" s="18">
        <v>463537.28</v>
      </c>
      <c r="H459" s="18">
        <v>414.69</v>
      </c>
      <c r="I459" s="56">
        <f t="shared" si="34"/>
        <v>463951.97000000003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463537.28</v>
      </c>
      <c r="H460" s="83">
        <f>SUM(H454:H459)</f>
        <v>414.69</v>
      </c>
      <c r="I460" s="83">
        <f>SUM(I454:I459)</f>
        <v>463951.97000000003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463537.28</v>
      </c>
      <c r="H461" s="42">
        <f>H452+H460</f>
        <v>181755.01</v>
      </c>
      <c r="I461" s="42">
        <f>I452+I460</f>
        <v>645292.29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723570.37</v>
      </c>
      <c r="G465" s="18">
        <v>0</v>
      </c>
      <c r="H465" s="18">
        <v>0</v>
      </c>
      <c r="I465" s="18">
        <v>7180.99</v>
      </c>
      <c r="J465" s="18">
        <v>497407.68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17014530.049999997</v>
      </c>
      <c r="G468" s="18">
        <f>G193</f>
        <v>390044.26000000007</v>
      </c>
      <c r="H468" s="18">
        <f t="shared" ref="H468:J468" si="35">H193</f>
        <v>221441.19000000003</v>
      </c>
      <c r="I468" s="18">
        <f t="shared" si="35"/>
        <v>25004.92</v>
      </c>
      <c r="J468" s="18">
        <f t="shared" si="35"/>
        <v>88723.760000000009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17014530.049999997</v>
      </c>
      <c r="G470" s="53">
        <f>SUM(G468:G469)</f>
        <v>390044.26000000007</v>
      </c>
      <c r="H470" s="53">
        <f>SUM(H468:H469)</f>
        <v>221441.19000000003</v>
      </c>
      <c r="I470" s="53">
        <f>SUM(I468:I469)</f>
        <v>25004.92</v>
      </c>
      <c r="J470" s="53">
        <f>SUM(J468:J469)</f>
        <v>88723.760000000009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17128180.759999998</v>
      </c>
      <c r="G472" s="18">
        <f>L362</f>
        <v>390044.26</v>
      </c>
      <c r="H472" s="18">
        <f>L352</f>
        <v>221441.19</v>
      </c>
      <c r="I472" s="18">
        <f>L382</f>
        <v>0</v>
      </c>
      <c r="J472" s="18">
        <f>L434</f>
        <v>122179.47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17128180.759999998</v>
      </c>
      <c r="G474" s="53">
        <f>SUM(G472:G473)</f>
        <v>390044.26</v>
      </c>
      <c r="H474" s="53">
        <f>SUM(H472:H473)</f>
        <v>221441.19</v>
      </c>
      <c r="I474" s="53">
        <f>SUM(I472:I473)</f>
        <v>0</v>
      </c>
      <c r="J474" s="53">
        <f>SUM(J472:J473)</f>
        <v>122179.47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609919.66000000015</v>
      </c>
      <c r="G476" s="53">
        <f>(G465+G470)- G474</f>
        <v>0</v>
      </c>
      <c r="H476" s="53">
        <f>(H465+H470)- H474</f>
        <v>0</v>
      </c>
      <c r="I476" s="53">
        <f>(I465+I470)- I474</f>
        <v>32185.909999999996</v>
      </c>
      <c r="J476" s="53">
        <f>(J465+J470)- J474</f>
        <v>463951.97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7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1090000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2.14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930000</v>
      </c>
      <c r="G495" s="18"/>
      <c r="H495" s="18"/>
      <c r="I495" s="18"/>
      <c r="J495" s="18"/>
      <c r="K495" s="53">
        <f>SUM(F495:J495)</f>
        <v>930000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6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155000</v>
      </c>
      <c r="G497" s="18"/>
      <c r="H497" s="18"/>
      <c r="I497" s="18"/>
      <c r="J497" s="18"/>
      <c r="K497" s="53">
        <f t="shared" si="36"/>
        <v>155000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775000</v>
      </c>
      <c r="G498" s="204"/>
      <c r="H498" s="204"/>
      <c r="I498" s="204"/>
      <c r="J498" s="204"/>
      <c r="K498" s="205">
        <f t="shared" si="36"/>
        <v>775000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104043.75</v>
      </c>
      <c r="G499" s="18"/>
      <c r="H499" s="18"/>
      <c r="I499" s="18"/>
      <c r="J499" s="18"/>
      <c r="K499" s="53">
        <f t="shared" si="36"/>
        <v>104043.75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879043.75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879043.75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155000</v>
      </c>
      <c r="G501" s="204"/>
      <c r="H501" s="204"/>
      <c r="I501" s="204"/>
      <c r="J501" s="204"/>
      <c r="K501" s="205">
        <f t="shared" si="36"/>
        <v>155000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21118.75+25071.25</f>
        <v>46190</v>
      </c>
      <c r="G502" s="18"/>
      <c r="H502" s="18"/>
      <c r="I502" s="18"/>
      <c r="J502" s="18"/>
      <c r="K502" s="53">
        <f t="shared" si="36"/>
        <v>46190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201190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201190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1460656.15</v>
      </c>
      <c r="G523" s="18">
        <v>612128.36</v>
      </c>
      <c r="H523" s="18">
        <v>499140.45</v>
      </c>
      <c r="I523" s="18">
        <v>11870.89</v>
      </c>
      <c r="J523" s="18">
        <v>3274.24</v>
      </c>
      <c r="K523" s="18">
        <v>150</v>
      </c>
      <c r="L523" s="88">
        <f>SUM(F523:K523)</f>
        <v>2587220.0900000003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1460656.15</v>
      </c>
      <c r="G524" s="108">
        <f t="shared" ref="G524:L524" si="37">SUM(G521:G523)</f>
        <v>612128.36</v>
      </c>
      <c r="H524" s="108">
        <f t="shared" si="37"/>
        <v>499140.45</v>
      </c>
      <c r="I524" s="108">
        <f t="shared" si="37"/>
        <v>11870.89</v>
      </c>
      <c r="J524" s="108">
        <f t="shared" si="37"/>
        <v>3274.24</v>
      </c>
      <c r="K524" s="108">
        <f t="shared" si="37"/>
        <v>150</v>
      </c>
      <c r="L524" s="89">
        <f t="shared" si="37"/>
        <v>2587220.0900000003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235055.4</v>
      </c>
      <c r="G528" s="18">
        <v>98921.25</v>
      </c>
      <c r="H528" s="18">
        <v>409471.51</v>
      </c>
      <c r="I528" s="18">
        <v>748.85</v>
      </c>
      <c r="J528" s="18">
        <v>0</v>
      </c>
      <c r="K528" s="18">
        <v>0</v>
      </c>
      <c r="L528" s="88">
        <f>SUM(F528:K528)</f>
        <v>744197.01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235055.4</v>
      </c>
      <c r="G529" s="89">
        <f t="shared" ref="G529:L529" si="38">SUM(G526:G528)</f>
        <v>98921.25</v>
      </c>
      <c r="H529" s="89">
        <f t="shared" si="38"/>
        <v>409471.51</v>
      </c>
      <c r="I529" s="89">
        <f t="shared" si="38"/>
        <v>748.85</v>
      </c>
      <c r="J529" s="89">
        <f t="shared" si="38"/>
        <v>0</v>
      </c>
      <c r="K529" s="89">
        <f t="shared" si="38"/>
        <v>0</v>
      </c>
      <c r="L529" s="89">
        <f t="shared" si="38"/>
        <v>744197.01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10840.46</v>
      </c>
      <c r="I533" s="18"/>
      <c r="J533" s="18"/>
      <c r="K533" s="18"/>
      <c r="L533" s="88">
        <f>SUM(F533:K533)</f>
        <v>10840.46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9">SUM(G531:G533)</f>
        <v>0</v>
      </c>
      <c r="H534" s="89">
        <f t="shared" si="39"/>
        <v>10840.46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10840.46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8455.5</v>
      </c>
      <c r="I538" s="18"/>
      <c r="J538" s="18"/>
      <c r="K538" s="18"/>
      <c r="L538" s="88">
        <f>SUM(F538:K538)</f>
        <v>8455.5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8455.5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8455.5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362890+920.52+102.73</f>
        <v>363913.25</v>
      </c>
      <c r="I543" s="18"/>
      <c r="J543" s="18"/>
      <c r="K543" s="18"/>
      <c r="L543" s="88">
        <f>SUM(F543:K543)</f>
        <v>363913.25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363913.25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363913.25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1695711.5499999998</v>
      </c>
      <c r="G545" s="89">
        <f t="shared" ref="G545:L545" si="42">G524+G529+G534+G539+G544</f>
        <v>711049.61</v>
      </c>
      <c r="H545" s="89">
        <f t="shared" si="42"/>
        <v>1291821.17</v>
      </c>
      <c r="I545" s="89">
        <f t="shared" si="42"/>
        <v>12619.74</v>
      </c>
      <c r="J545" s="89">
        <f t="shared" si="42"/>
        <v>3274.24</v>
      </c>
      <c r="K545" s="89">
        <f t="shared" si="42"/>
        <v>150</v>
      </c>
      <c r="L545" s="89">
        <f t="shared" si="42"/>
        <v>3714626.3100000005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2587220.0900000003</v>
      </c>
      <c r="G551" s="87">
        <f>L528</f>
        <v>744197.01</v>
      </c>
      <c r="H551" s="87">
        <f>L533</f>
        <v>10840.46</v>
      </c>
      <c r="I551" s="87">
        <f>L538</f>
        <v>8455.5</v>
      </c>
      <c r="J551" s="87">
        <f>L543</f>
        <v>363913.25</v>
      </c>
      <c r="K551" s="87">
        <f>SUM(F551:J551)</f>
        <v>3714626.3100000005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2587220.0900000003</v>
      </c>
      <c r="G552" s="89">
        <f t="shared" si="43"/>
        <v>744197.01</v>
      </c>
      <c r="H552" s="89">
        <f t="shared" si="43"/>
        <v>10840.46</v>
      </c>
      <c r="I552" s="89">
        <f t="shared" si="43"/>
        <v>8455.5</v>
      </c>
      <c r="J552" s="89">
        <f t="shared" si="43"/>
        <v>363913.25</v>
      </c>
      <c r="K552" s="89">
        <f t="shared" si="43"/>
        <v>3714626.3100000005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1159</v>
      </c>
      <c r="I578" s="87">
        <f t="shared" si="48"/>
        <v>1159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0</v>
      </c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0</v>
      </c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463233.8</v>
      </c>
      <c r="I582" s="87">
        <f t="shared" si="48"/>
        <v>463233.8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0</v>
      </c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30563.3</v>
      </c>
      <c r="I584" s="87">
        <f t="shared" si="48"/>
        <v>30563.3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/>
      <c r="J591" s="18">
        <v>263788.33</v>
      </c>
      <c r="K591" s="104">
        <f t="shared" ref="K591:K597" si="49">SUM(H591:J591)</f>
        <v>263788.33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v>362890</v>
      </c>
      <c r="K592" s="104">
        <f t="shared" si="49"/>
        <v>362890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119925</v>
      </c>
      <c r="K593" s="104">
        <f t="shared" si="49"/>
        <v>119925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>
        <v>90435.46</v>
      </c>
      <c r="K594" s="104">
        <f t="shared" si="49"/>
        <v>90435.46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>
        <v>2156.77</v>
      </c>
      <c r="K595" s="104">
        <f t="shared" si="49"/>
        <v>2156.77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>
        <v>1023.25</v>
      </c>
      <c r="K597" s="104">
        <f t="shared" si="49"/>
        <v>1023.25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840218.81</v>
      </c>
      <c r="K598" s="108">
        <f>SUM(K591:K597)</f>
        <v>840218.81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>
        <v>367853.81</v>
      </c>
      <c r="K604" s="104">
        <f>SUM(H604:J604)</f>
        <v>367853.81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367853.81</v>
      </c>
      <c r="K605" s="108">
        <f>SUM(K602:K604)</f>
        <v>367853.81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9400+13850</f>
        <v>23250</v>
      </c>
      <c r="G613" s="18">
        <f>1802.55+2836.96</f>
        <v>4639.51</v>
      </c>
      <c r="H613" s="18">
        <v>600</v>
      </c>
      <c r="I613" s="18">
        <v>2329.42</v>
      </c>
      <c r="J613" s="18">
        <v>3412.98</v>
      </c>
      <c r="K613" s="18"/>
      <c r="L613" s="88">
        <f>SUM(F613:K613)</f>
        <v>34231.910000000003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23250</v>
      </c>
      <c r="G614" s="108">
        <f t="shared" si="50"/>
        <v>4639.51</v>
      </c>
      <c r="H614" s="108">
        <f t="shared" si="50"/>
        <v>600</v>
      </c>
      <c r="I614" s="108">
        <f t="shared" si="50"/>
        <v>2329.42</v>
      </c>
      <c r="J614" s="108">
        <f t="shared" si="50"/>
        <v>3412.98</v>
      </c>
      <c r="K614" s="108">
        <f t="shared" si="50"/>
        <v>0</v>
      </c>
      <c r="L614" s="89">
        <f t="shared" si="50"/>
        <v>34231.910000000003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932606.02</v>
      </c>
      <c r="H617" s="109">
        <f>SUM(F52)</f>
        <v>932606.02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15294.14</v>
      </c>
      <c r="H618" s="109">
        <f>SUM(G52)</f>
        <v>15294.14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64814.66</v>
      </c>
      <c r="H619" s="109">
        <f>SUM(H52)</f>
        <v>64814.659999999996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32235.91</v>
      </c>
      <c r="H620" s="109">
        <f>SUM(I52)</f>
        <v>32235.91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645292.29</v>
      </c>
      <c r="H621" s="109">
        <f>SUM(J52)</f>
        <v>645292.29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609919.66</v>
      </c>
      <c r="H622" s="109">
        <f>F476</f>
        <v>609919.66000000015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32185.91</v>
      </c>
      <c r="H625" s="109">
        <f>I476</f>
        <v>32185.909999999996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463951.97000000003</v>
      </c>
      <c r="H626" s="109">
        <f>J476</f>
        <v>463951.97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17014530.049999997</v>
      </c>
      <c r="H627" s="104">
        <f>SUM(F468)</f>
        <v>17014530.049999997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390044.26000000007</v>
      </c>
      <c r="H628" s="104">
        <f>SUM(G468)</f>
        <v>390044.26000000007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221441.19000000003</v>
      </c>
      <c r="H629" s="104">
        <f>SUM(H468)</f>
        <v>221441.19000000003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25004.92</v>
      </c>
      <c r="H630" s="104">
        <f>SUM(I468)</f>
        <v>25004.92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88723.760000000009</v>
      </c>
      <c r="H631" s="104">
        <f>SUM(J468)</f>
        <v>88723.760000000009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17128180.759999998</v>
      </c>
      <c r="H632" s="104">
        <f>SUM(F472)</f>
        <v>17128180.759999998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221441.19</v>
      </c>
      <c r="H633" s="104">
        <f>SUM(H472)</f>
        <v>221441.19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143848.5</v>
      </c>
      <c r="H634" s="104">
        <f>I369</f>
        <v>143848.5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390044.26</v>
      </c>
      <c r="H635" s="104">
        <f>SUM(G472)</f>
        <v>390044.26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88723.76</v>
      </c>
      <c r="H637" s="164">
        <f>SUM(J468)</f>
        <v>88723.760000000009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122179.47</v>
      </c>
      <c r="H638" s="164">
        <f>SUM(J472)</f>
        <v>122179.47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463537.28</v>
      </c>
      <c r="H640" s="104">
        <f>SUM(G461)</f>
        <v>463537.28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181755.01</v>
      </c>
      <c r="H641" s="104">
        <f>SUM(H461)</f>
        <v>181755.01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645292.29</v>
      </c>
      <c r="H642" s="104">
        <f>SUM(I461)</f>
        <v>645292.29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11544.29</v>
      </c>
      <c r="H644" s="104">
        <f>H408</f>
        <v>11544.29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65000</v>
      </c>
      <c r="H645" s="104">
        <f>G408</f>
        <v>65000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88723.760000000009</v>
      </c>
      <c r="H646" s="104">
        <f>L408</f>
        <v>88723.76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840218.81</v>
      </c>
      <c r="H647" s="104">
        <f>L208+L226+L244</f>
        <v>840218.80999999994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367853.81</v>
      </c>
      <c r="H648" s="104">
        <f>(J257+J338)-(J255+J336)</f>
        <v>367853.81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840218.80999999994</v>
      </c>
      <c r="H651" s="104">
        <f>J598</f>
        <v>840218.81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14651.95</v>
      </c>
      <c r="H652" s="104">
        <f>K263+K345</f>
        <v>14651.95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65000</v>
      </c>
      <c r="H655" s="104">
        <f>K266+K347</f>
        <v>65000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17180665.460000001</v>
      </c>
      <c r="I660" s="19">
        <f>SUM(F660:H660)</f>
        <v>17180665.460000001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346092.38</v>
      </c>
      <c r="I661" s="19">
        <f>SUM(F661:H661)</f>
        <v>346092.38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840218.80999999994</v>
      </c>
      <c r="I662" s="19">
        <f>SUM(F662:H662)</f>
        <v>840218.80999999994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897041.82</v>
      </c>
      <c r="I663" s="19">
        <f>SUM(F663:H663)</f>
        <v>897041.82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15097312.450000001</v>
      </c>
      <c r="I664" s="19">
        <f>I660-SUM(I661:I663)</f>
        <v>15097312.450000001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>
        <v>830.94</v>
      </c>
      <c r="I665" s="19">
        <f>SUM(F665:H665)</f>
        <v>830.94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>
        <f>ROUND(H664/H665,2)</f>
        <v>18168.96</v>
      </c>
      <c r="I667" s="19">
        <f>ROUND(I664/I665,2)</f>
        <v>18168.96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-4.4400000000000004</v>
      </c>
      <c r="I670" s="19">
        <f>SUM(F670:H670)</f>
        <v>-4.4400000000000004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>
        <f>ROUND((H664+H669)/(H665+H670),2)</f>
        <v>18266.560000000001</v>
      </c>
      <c r="I672" s="19">
        <f>ROUND((I664+I669)/(I665+I670),2)</f>
        <v>18266.560000000001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SOUHEGAN COOPERATIVE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4994574.21</v>
      </c>
      <c r="C9" s="229">
        <f>'DOE25'!G197+'DOE25'!G215+'DOE25'!G233+'DOE25'!G276+'DOE25'!G295+'DOE25'!G314</f>
        <v>1885231.52</v>
      </c>
    </row>
    <row r="10" spans="1:3" x14ac:dyDescent="0.2">
      <c r="A10" t="s">
        <v>779</v>
      </c>
      <c r="B10" s="240">
        <v>4663957.83</v>
      </c>
      <c r="C10" s="240">
        <f>(B10/$B$13)*$C$9</f>
        <v>1760438.4156436033</v>
      </c>
    </row>
    <row r="11" spans="1:3" x14ac:dyDescent="0.2">
      <c r="A11" t="s">
        <v>780</v>
      </c>
      <c r="B11" s="240">
        <v>34545.949999999997</v>
      </c>
      <c r="C11" s="240">
        <f t="shared" ref="C11:C12" si="0">(B11/$B$13)*$C$9</f>
        <v>13039.572762368465</v>
      </c>
    </row>
    <row r="12" spans="1:3" x14ac:dyDescent="0.2">
      <c r="A12" t="s">
        <v>781</v>
      </c>
      <c r="B12" s="240">
        <v>296070.43</v>
      </c>
      <c r="C12" s="240">
        <f t="shared" si="0"/>
        <v>111753.53159402823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4994574.21</v>
      </c>
      <c r="C13" s="231">
        <f>SUM(C10:C12)</f>
        <v>1885231.52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1460656.15</v>
      </c>
      <c r="C18" s="229">
        <f>'DOE25'!G198+'DOE25'!G216+'DOE25'!G234+'DOE25'!G277+'DOE25'!G296+'DOE25'!G315</f>
        <v>612128.36</v>
      </c>
    </row>
    <row r="19" spans="1:3" x14ac:dyDescent="0.2">
      <c r="A19" t="s">
        <v>779</v>
      </c>
      <c r="B19" s="240">
        <v>860049</v>
      </c>
      <c r="C19" s="240">
        <f>(B19/$B$18)*$C$18</f>
        <v>360427.32157711446</v>
      </c>
    </row>
    <row r="20" spans="1:3" x14ac:dyDescent="0.2">
      <c r="A20" t="s">
        <v>780</v>
      </c>
      <c r="B20" s="240">
        <v>485029.28</v>
      </c>
      <c r="C20" s="240">
        <f t="shared" ref="C20:C21" si="1">(B20/$B$18)*$C$18</f>
        <v>203264.9352268026</v>
      </c>
    </row>
    <row r="21" spans="1:3" x14ac:dyDescent="0.2">
      <c r="A21" t="s">
        <v>781</v>
      </c>
      <c r="B21" s="240">
        <v>115577.87</v>
      </c>
      <c r="C21" s="240">
        <f t="shared" si="1"/>
        <v>48436.103196082935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1460656.15</v>
      </c>
      <c r="C22" s="231">
        <f>SUM(C19:C21)</f>
        <v>612128.36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301873.38</v>
      </c>
      <c r="C36" s="235">
        <f>'DOE25'!G200+'DOE25'!G218+'DOE25'!G236+'DOE25'!G279+'DOE25'!G298+'DOE25'!G317</f>
        <v>57422.07</v>
      </c>
    </row>
    <row r="37" spans="1:3" x14ac:dyDescent="0.2">
      <c r="A37" t="s">
        <v>779</v>
      </c>
      <c r="B37" s="240">
        <f>45878.11-1046.12</f>
        <v>44831.99</v>
      </c>
      <c r="C37" s="240">
        <f>(B37/$B$36)*$C$36</f>
        <v>8527.8989092025913</v>
      </c>
    </row>
    <row r="38" spans="1:3" x14ac:dyDescent="0.2">
      <c r="A38" t="s">
        <v>780</v>
      </c>
      <c r="B38" s="240">
        <v>1046.1199999999999</v>
      </c>
      <c r="C38" s="240">
        <f>(B38/$B$36)*$C$36</f>
        <v>198.9919610281635</v>
      </c>
    </row>
    <row r="39" spans="1:3" x14ac:dyDescent="0.2">
      <c r="A39" t="s">
        <v>781</v>
      </c>
      <c r="B39" s="240">
        <f>B36-B37-B38</f>
        <v>255995.27000000002</v>
      </c>
      <c r="C39" s="240">
        <f>(B39/$B$36)*$C$36</f>
        <v>48695.179129769247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301873.38</v>
      </c>
      <c r="C40" s="231">
        <f>SUM(C37:C39)</f>
        <v>57422.07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H34" sqref="H3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SOUHEGAN COOPERATIVE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10313579.58</v>
      </c>
      <c r="D5" s="20">
        <f>SUM('DOE25'!L197:L200)+SUM('DOE25'!L215:L218)+SUM('DOE25'!L233:L236)-F5-G5</f>
        <v>10076011.6</v>
      </c>
      <c r="E5" s="243"/>
      <c r="F5" s="255">
        <f>SUM('DOE25'!J197:J200)+SUM('DOE25'!J215:J218)+SUM('DOE25'!J233:J236)</f>
        <v>215466.23</v>
      </c>
      <c r="G5" s="53">
        <f>SUM('DOE25'!K197:K200)+SUM('DOE25'!K215:K218)+SUM('DOE25'!K233:K236)</f>
        <v>22101.75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1730405</v>
      </c>
      <c r="D6" s="20">
        <f>'DOE25'!L202+'DOE25'!L220+'DOE25'!L238-F6-G6</f>
        <v>1726534.52</v>
      </c>
      <c r="E6" s="243"/>
      <c r="F6" s="255">
        <f>'DOE25'!J202+'DOE25'!J220+'DOE25'!J238</f>
        <v>2480.48</v>
      </c>
      <c r="G6" s="53">
        <f>'DOE25'!K202+'DOE25'!K220+'DOE25'!K238</f>
        <v>1390</v>
      </c>
      <c r="H6" s="259"/>
    </row>
    <row r="7" spans="1:9" x14ac:dyDescent="0.2">
      <c r="A7" s="32">
        <v>2200</v>
      </c>
      <c r="B7" t="s">
        <v>834</v>
      </c>
      <c r="C7" s="245">
        <f t="shared" si="0"/>
        <v>485929.85</v>
      </c>
      <c r="D7" s="20">
        <f>'DOE25'!L203+'DOE25'!L221+'DOE25'!L239-F7-G7</f>
        <v>483859.93</v>
      </c>
      <c r="E7" s="243"/>
      <c r="F7" s="255">
        <f>'DOE25'!J203+'DOE25'!J221+'DOE25'!J239</f>
        <v>1749.92</v>
      </c>
      <c r="G7" s="53">
        <f>'DOE25'!K203+'DOE25'!K221+'DOE25'!K239</f>
        <v>320</v>
      </c>
      <c r="H7" s="259"/>
    </row>
    <row r="8" spans="1:9" x14ac:dyDescent="0.2">
      <c r="A8" s="32">
        <v>2300</v>
      </c>
      <c r="B8" t="s">
        <v>802</v>
      </c>
      <c r="C8" s="245">
        <f t="shared" si="0"/>
        <v>864868.14</v>
      </c>
      <c r="D8" s="243"/>
      <c r="E8" s="20">
        <f>'DOE25'!L204+'DOE25'!L222+'DOE25'!L240-F8-G8-D9-D11</f>
        <v>859877.26</v>
      </c>
      <c r="F8" s="255">
        <f>'DOE25'!J204+'DOE25'!J222+'DOE25'!J240</f>
        <v>0</v>
      </c>
      <c r="G8" s="53">
        <f>'DOE25'!K204+'DOE25'!K222+'DOE25'!K240</f>
        <v>4990.88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760107.45000000007</v>
      </c>
      <c r="D12" s="20">
        <f>'DOE25'!L205+'DOE25'!L223+'DOE25'!L241-F12-G12</f>
        <v>732630.27</v>
      </c>
      <c r="E12" s="243"/>
      <c r="F12" s="255">
        <f>'DOE25'!J205+'DOE25'!J223+'DOE25'!J241</f>
        <v>14755.78</v>
      </c>
      <c r="G12" s="53">
        <f>'DOE25'!K205+'DOE25'!K223+'DOE25'!K241</f>
        <v>12721.4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2663.25</v>
      </c>
      <c r="D13" s="243"/>
      <c r="E13" s="20">
        <f>'DOE25'!L206+'DOE25'!L224+'DOE25'!L242-F13-G13</f>
        <v>2663.25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1209739.26</v>
      </c>
      <c r="D14" s="20">
        <f>'DOE25'!L207+'DOE25'!L225+'DOE25'!L243-F14-G14</f>
        <v>1154307.6100000001</v>
      </c>
      <c r="E14" s="243"/>
      <c r="F14" s="255">
        <f>'DOE25'!J207+'DOE25'!J225+'DOE25'!J243</f>
        <v>55381.9</v>
      </c>
      <c r="G14" s="53">
        <f>'DOE25'!K207+'DOE25'!K225+'DOE25'!K243</f>
        <v>49.75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840218.80999999994</v>
      </c>
      <c r="D15" s="20">
        <f>'DOE25'!L208+'DOE25'!L226+'DOE25'!L244-F15-G15</f>
        <v>840218.80999999994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361668.67</v>
      </c>
      <c r="D16" s="243"/>
      <c r="E16" s="20">
        <f>'DOE25'!L209+'DOE25'!L227+'DOE25'!L245-F16-G16</f>
        <v>287062.14999999997</v>
      </c>
      <c r="F16" s="255">
        <f>'DOE25'!J209+'DOE25'!J227+'DOE25'!J245</f>
        <v>74606.52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4776.8900000000003</v>
      </c>
      <c r="D17" s="20">
        <f>'DOE25'!L251-F17-G17</f>
        <v>4776.8900000000003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273381.90999999997</v>
      </c>
      <c r="D22" s="243"/>
      <c r="E22" s="243"/>
      <c r="F22" s="255">
        <f>'DOE25'!L255+'DOE25'!L336</f>
        <v>273381.90999999997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201190</v>
      </c>
      <c r="D25" s="243"/>
      <c r="E25" s="243"/>
      <c r="F25" s="258"/>
      <c r="G25" s="256"/>
      <c r="H25" s="257">
        <f>'DOE25'!L260+'DOE25'!L261+'DOE25'!L341+'DOE25'!L342</f>
        <v>201190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256212.39</v>
      </c>
      <c r="D29" s="20">
        <f>'DOE25'!L358+'DOE25'!L359+'DOE25'!L360-'DOE25'!I367-F29-G29</f>
        <v>245738.89</v>
      </c>
      <c r="E29" s="243"/>
      <c r="F29" s="255">
        <f>'DOE25'!J358+'DOE25'!J359+'DOE25'!J360</f>
        <v>10317.69</v>
      </c>
      <c r="G29" s="53">
        <f>'DOE25'!K358+'DOE25'!K359+'DOE25'!K360</f>
        <v>155.81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221441.19</v>
      </c>
      <c r="D31" s="20">
        <f>'DOE25'!L290+'DOE25'!L309+'DOE25'!L328+'DOE25'!L333+'DOE25'!L334+'DOE25'!L335-F31-G31</f>
        <v>218028.21</v>
      </c>
      <c r="E31" s="243"/>
      <c r="F31" s="255">
        <f>'DOE25'!J290+'DOE25'!J309+'DOE25'!J328+'DOE25'!J333+'DOE25'!J334+'DOE25'!J335</f>
        <v>3412.98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15482106.73</v>
      </c>
      <c r="E33" s="246">
        <f>SUM(E5:E31)</f>
        <v>1149602.6599999999</v>
      </c>
      <c r="F33" s="246">
        <f>SUM(F5:F31)</f>
        <v>651553.40999999992</v>
      </c>
      <c r="G33" s="246">
        <f>SUM(G5:G31)</f>
        <v>41729.589999999997</v>
      </c>
      <c r="H33" s="246">
        <f>SUM(H5:H31)</f>
        <v>201190</v>
      </c>
    </row>
    <row r="35" spans="2:8" ht="12" thickBot="1" x14ac:dyDescent="0.25">
      <c r="B35" s="253" t="s">
        <v>847</v>
      </c>
      <c r="D35" s="254">
        <f>E33</f>
        <v>1149602.6599999999</v>
      </c>
      <c r="E35" s="249"/>
    </row>
    <row r="36" spans="2:8" ht="12" thickTop="1" x14ac:dyDescent="0.2">
      <c r="B36" t="s">
        <v>815</v>
      </c>
      <c r="D36" s="20">
        <f>D33</f>
        <v>15482106.73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SOUHEGAN COOPERATIVE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217106.04</v>
      </c>
      <c r="D8" s="95">
        <f>'DOE25'!G9</f>
        <v>0</v>
      </c>
      <c r="E8" s="95">
        <f>'DOE25'!H9</f>
        <v>0</v>
      </c>
      <c r="F8" s="95">
        <f>'DOE25'!I9</f>
        <v>32235.91</v>
      </c>
      <c r="G8" s="95">
        <f>'DOE25'!J9</f>
        <v>180197.57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608883.43000000005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59954.71</v>
      </c>
      <c r="D11" s="95">
        <f>'DOE25'!G12</f>
        <v>3056.24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41842.18</v>
      </c>
      <c r="D12" s="95">
        <f>'DOE25'!G13</f>
        <v>12197.49</v>
      </c>
      <c r="E12" s="95">
        <f>'DOE25'!H13</f>
        <v>64814.66</v>
      </c>
      <c r="F12" s="95">
        <f>'DOE25'!I13</f>
        <v>0</v>
      </c>
      <c r="G12" s="95">
        <f>'DOE25'!J13</f>
        <v>465094.72000000003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3736.84</v>
      </c>
      <c r="D13" s="95">
        <f>'DOE25'!G14</f>
        <v>40.409999999999997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1082.82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932606.02</v>
      </c>
      <c r="D18" s="41">
        <f>SUM(D8:D17)</f>
        <v>15294.14</v>
      </c>
      <c r="E18" s="41">
        <f>SUM(E8:E17)</f>
        <v>64814.66</v>
      </c>
      <c r="F18" s="41">
        <f>SUM(F8:F17)</f>
        <v>32235.91</v>
      </c>
      <c r="G18" s="41">
        <f>SUM(G8:G17)</f>
        <v>645292.29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61818.2</v>
      </c>
      <c r="F21" s="95">
        <f>'DOE25'!I22</f>
        <v>50</v>
      </c>
      <c r="G21" s="95">
        <f>'DOE25'!J22</f>
        <v>1142.75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3721.99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261973.21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42322.39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12537.3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2131.4699999999998</v>
      </c>
      <c r="D29" s="95">
        <f>'DOE25'!G30</f>
        <v>15294.14</v>
      </c>
      <c r="E29" s="95">
        <f>'DOE25'!H30</f>
        <v>2996.46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180197.57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322686.36</v>
      </c>
      <c r="D31" s="41">
        <f>SUM(D21:D30)</f>
        <v>15294.14</v>
      </c>
      <c r="E31" s="41">
        <f>SUM(E21:E30)</f>
        <v>64814.659999999996</v>
      </c>
      <c r="F31" s="41">
        <f>SUM(F21:F30)</f>
        <v>50</v>
      </c>
      <c r="G31" s="41">
        <f>SUM(G21:G30)</f>
        <v>181340.32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32185.91</v>
      </c>
      <c r="G47" s="95">
        <f>'DOE25'!J48</f>
        <v>463951.97000000003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544919.66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609919.66</v>
      </c>
      <c r="D50" s="41">
        <f>SUM(D34:D49)</f>
        <v>0</v>
      </c>
      <c r="E50" s="41">
        <f>SUM(E34:E49)</f>
        <v>0</v>
      </c>
      <c r="F50" s="41">
        <f>SUM(F34:F49)</f>
        <v>32185.91</v>
      </c>
      <c r="G50" s="41">
        <f>SUM(G34:G49)</f>
        <v>463951.97000000003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932606.02</v>
      </c>
      <c r="D51" s="41">
        <f>D50+D31</f>
        <v>15294.14</v>
      </c>
      <c r="E51" s="41">
        <f>E50+E31</f>
        <v>64814.659999999996</v>
      </c>
      <c r="F51" s="41">
        <f>F50+F31</f>
        <v>32235.91</v>
      </c>
      <c r="G51" s="41">
        <f>G50+G31</f>
        <v>645292.29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12574648.07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134957.18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6017.99</v>
      </c>
      <c r="D59" s="95">
        <f>'DOE25'!G96</f>
        <v>0</v>
      </c>
      <c r="E59" s="95">
        <f>'DOE25'!H96</f>
        <v>0</v>
      </c>
      <c r="F59" s="95">
        <f>'DOE25'!I96</f>
        <v>4.92</v>
      </c>
      <c r="G59" s="95">
        <f>'DOE25'!J96</f>
        <v>11544.29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344035.86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147926.21</v>
      </c>
      <c r="D61" s="95">
        <f>SUM('DOE25'!G98:G110)</f>
        <v>2056.52</v>
      </c>
      <c r="E61" s="95">
        <f>SUM('DOE25'!H98:H110)</f>
        <v>35570.26</v>
      </c>
      <c r="F61" s="95">
        <f>SUM('DOE25'!I98:I110)</f>
        <v>25000</v>
      </c>
      <c r="G61" s="95">
        <f>SUM('DOE25'!J98:J110)</f>
        <v>12179.47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288901.38</v>
      </c>
      <c r="D62" s="130">
        <f>SUM(D57:D61)</f>
        <v>346092.38</v>
      </c>
      <c r="E62" s="130">
        <f>SUM(E57:E61)</f>
        <v>35570.26</v>
      </c>
      <c r="F62" s="130">
        <f>SUM(F57:F61)</f>
        <v>25004.92</v>
      </c>
      <c r="G62" s="130">
        <f>SUM(G57:G61)</f>
        <v>23723.760000000002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12863549.450000001</v>
      </c>
      <c r="D63" s="22">
        <f>D56+D62</f>
        <v>346092.38</v>
      </c>
      <c r="E63" s="22">
        <f>E56+E62</f>
        <v>35570.26</v>
      </c>
      <c r="F63" s="22">
        <f>F56+F62</f>
        <v>25004.92</v>
      </c>
      <c r="G63" s="22">
        <f>G56+G62</f>
        <v>23723.760000000002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1805806.22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1643701.06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282.3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3449789.58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458384.27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5614.21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987.96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463998.48000000004</v>
      </c>
      <c r="D78" s="130">
        <f>SUM(D72:D77)</f>
        <v>987.96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3913788.06</v>
      </c>
      <c r="D81" s="130">
        <f>SUM(D79:D80)+D78+D70</f>
        <v>987.96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127192.54</v>
      </c>
      <c r="D88" s="95">
        <f>SUM('DOE25'!G153:G161)</f>
        <v>28311.97</v>
      </c>
      <c r="E88" s="95">
        <f>SUM('DOE25'!H153:H161)</f>
        <v>185870.93000000002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127192.54</v>
      </c>
      <c r="D91" s="131">
        <f>SUM(D85:D90)</f>
        <v>28311.97</v>
      </c>
      <c r="E91" s="131">
        <f>SUM(E85:E90)</f>
        <v>185870.93000000002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14651.95</v>
      </c>
      <c r="E96" s="95">
        <f>'DOE25'!H179</f>
        <v>0</v>
      </c>
      <c r="F96" s="95">
        <f>'DOE25'!I179</f>
        <v>0</v>
      </c>
      <c r="G96" s="95">
        <f>'DOE25'!J179</f>
        <v>65000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110000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110000</v>
      </c>
      <c r="D103" s="86">
        <f>SUM(D93:D102)</f>
        <v>14651.95</v>
      </c>
      <c r="E103" s="86">
        <f>SUM(E93:E102)</f>
        <v>0</v>
      </c>
      <c r="F103" s="86">
        <f>SUM(F93:F102)</f>
        <v>0</v>
      </c>
      <c r="G103" s="86">
        <f>SUM(G93:G102)</f>
        <v>65000</v>
      </c>
    </row>
    <row r="104" spans="1:7" ht="12.75" thickTop="1" thickBot="1" x14ac:dyDescent="0.25">
      <c r="A104" s="33" t="s">
        <v>765</v>
      </c>
      <c r="C104" s="86">
        <f>C63+C81+C91+C103</f>
        <v>17014530.050000001</v>
      </c>
      <c r="D104" s="86">
        <f>D63+D81+D91+D103</f>
        <v>390044.26000000007</v>
      </c>
      <c r="E104" s="86">
        <f>E63+E81+E91+E103</f>
        <v>221441.19000000003</v>
      </c>
      <c r="F104" s="86">
        <f>F63+F81+F91+F103</f>
        <v>25004.92</v>
      </c>
      <c r="G104" s="86">
        <f>G63+G81+G103</f>
        <v>88723.760000000009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7260048.0899999999</v>
      </c>
      <c r="D109" s="24" t="s">
        <v>289</v>
      </c>
      <c r="E109" s="95">
        <f>('DOE25'!L276)+('DOE25'!L295)+('DOE25'!L314)</f>
        <v>21866.82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2452334.1700000004</v>
      </c>
      <c r="D110" s="24" t="s">
        <v>289</v>
      </c>
      <c r="E110" s="95">
        <f>('DOE25'!L277)+('DOE25'!L296)+('DOE25'!L315)</f>
        <v>134885.91999999998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601197.32000000007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4776.8900000000003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10318356.470000001</v>
      </c>
      <c r="D115" s="86">
        <f>SUM(D109:D114)</f>
        <v>0</v>
      </c>
      <c r="E115" s="86">
        <f>SUM(E109:E114)</f>
        <v>156752.74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1730405</v>
      </c>
      <c r="D118" s="24" t="s">
        <v>289</v>
      </c>
      <c r="E118" s="95">
        <f>+('DOE25'!L281)+('DOE25'!L300)+('DOE25'!L319)</f>
        <v>1474.15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485929.85</v>
      </c>
      <c r="D119" s="24" t="s">
        <v>289</v>
      </c>
      <c r="E119" s="95">
        <f>+('DOE25'!L282)+('DOE25'!L301)+('DOE25'!L320)</f>
        <v>30269.25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864868.14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760107.45000000007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2663.25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1209739.26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840218.80999999994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361668.67</v>
      </c>
      <c r="D125" s="24" t="s">
        <v>289</v>
      </c>
      <c r="E125" s="95">
        <f>+('DOE25'!L288)+('DOE25'!L307)+('DOE25'!L326)</f>
        <v>32945.050000000003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390044.26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6255600.4299999997</v>
      </c>
      <c r="D128" s="86">
        <f>SUM(D118:D127)</f>
        <v>390044.26</v>
      </c>
      <c r="E128" s="86">
        <f>SUM(E118:E127)</f>
        <v>64688.450000000004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273381.90999999997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155000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46190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110000</v>
      </c>
    </row>
    <row r="135" spans="1:7" x14ac:dyDescent="0.2">
      <c r="A135" t="s">
        <v>233</v>
      </c>
      <c r="B135" s="32" t="s">
        <v>234</v>
      </c>
      <c r="C135" s="95">
        <f>'DOE25'!L263</f>
        <v>14651.95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76544.289999999994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12179.47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-23723.759999999995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554223.86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110000</v>
      </c>
    </row>
    <row r="145" spans="1:9" ht="12.75" thickTop="1" thickBot="1" x14ac:dyDescent="0.25">
      <c r="A145" s="33" t="s">
        <v>244</v>
      </c>
      <c r="C145" s="86">
        <f>(C115+C128+C144)</f>
        <v>17128180.760000002</v>
      </c>
      <c r="D145" s="86">
        <f>(D115+D128+D144)</f>
        <v>390044.26</v>
      </c>
      <c r="E145" s="86">
        <f>(E115+E128+E144)</f>
        <v>221441.19</v>
      </c>
      <c r="F145" s="86">
        <f>(F115+F128+F144)</f>
        <v>0</v>
      </c>
      <c r="G145" s="86">
        <f>(G115+G128+G144)</f>
        <v>110000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7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1090000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2.14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930000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930000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155000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155000</v>
      </c>
    </row>
    <row r="159" spans="1:9" x14ac:dyDescent="0.2">
      <c r="A159" s="22" t="s">
        <v>35</v>
      </c>
      <c r="B159" s="137">
        <f>'DOE25'!F498</f>
        <v>775000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775000</v>
      </c>
    </row>
    <row r="160" spans="1:9" x14ac:dyDescent="0.2">
      <c r="A160" s="22" t="s">
        <v>36</v>
      </c>
      <c r="B160" s="137">
        <f>'DOE25'!F499</f>
        <v>104043.75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104043.75</v>
      </c>
    </row>
    <row r="161" spans="1:7" x14ac:dyDescent="0.2">
      <c r="A161" s="22" t="s">
        <v>37</v>
      </c>
      <c r="B161" s="137">
        <f>'DOE25'!F500</f>
        <v>879043.75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879043.75</v>
      </c>
    </row>
    <row r="162" spans="1:7" x14ac:dyDescent="0.2">
      <c r="A162" s="22" t="s">
        <v>38</v>
      </c>
      <c r="B162" s="137">
        <f>'DOE25'!F501</f>
        <v>155000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155000</v>
      </c>
    </row>
    <row r="163" spans="1:7" x14ac:dyDescent="0.2">
      <c r="A163" s="22" t="s">
        <v>39</v>
      </c>
      <c r="B163" s="137">
        <f>'DOE25'!F502</f>
        <v>46190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46190</v>
      </c>
    </row>
    <row r="164" spans="1:7" x14ac:dyDescent="0.2">
      <c r="A164" s="22" t="s">
        <v>246</v>
      </c>
      <c r="B164" s="137">
        <f>'DOE25'!F503</f>
        <v>201190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201190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SOUHEGAN COOPERATIVE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18267</v>
      </c>
    </row>
    <row r="7" spans="1:4" x14ac:dyDescent="0.2">
      <c r="B7" t="s">
        <v>705</v>
      </c>
      <c r="C7" s="179">
        <f>IF('DOE25'!I665+'DOE25'!I670=0,0,ROUND('DOE25'!I672,0))</f>
        <v>18267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7281915</v>
      </c>
      <c r="D10" s="182">
        <f>ROUND((C10/$C$28)*100,1)</f>
        <v>43.1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2587220</v>
      </c>
      <c r="D11" s="182">
        <f>ROUND((C11/$C$28)*100,1)</f>
        <v>15.3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601197</v>
      </c>
      <c r="D13" s="182">
        <f>ROUND((C13/$C$28)*100,1)</f>
        <v>3.6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1731879</v>
      </c>
      <c r="D15" s="182">
        <f t="shared" ref="D15:D27" si="0">ROUND((C15/$C$28)*100,1)</f>
        <v>10.3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516199</v>
      </c>
      <c r="D16" s="182">
        <f t="shared" si="0"/>
        <v>3.1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1259482</v>
      </c>
      <c r="D17" s="182">
        <f t="shared" si="0"/>
        <v>7.5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760107</v>
      </c>
      <c r="D18" s="182">
        <f t="shared" si="0"/>
        <v>4.5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2663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1209739</v>
      </c>
      <c r="D20" s="182">
        <f t="shared" si="0"/>
        <v>7.2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840219</v>
      </c>
      <c r="D21" s="182">
        <f t="shared" si="0"/>
        <v>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4777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46190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43951.619999999995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16885538.620000001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273382</v>
      </c>
    </row>
    <row r="30" spans="1:4" x14ac:dyDescent="0.2">
      <c r="B30" s="187" t="s">
        <v>729</v>
      </c>
      <c r="C30" s="180">
        <f>SUM(C28:C29)</f>
        <v>17158920.620000001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155000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12574648</v>
      </c>
      <c r="D35" s="182">
        <f t="shared" ref="D35:D40" si="1">ROUND((C35/$C$41)*100,1)</f>
        <v>73.099999999999994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373200.38999999873</v>
      </c>
      <c r="D36" s="182">
        <f t="shared" si="1"/>
        <v>2.2000000000000002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3449507</v>
      </c>
      <c r="D37" s="182">
        <f t="shared" si="1"/>
        <v>20.100000000000001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465269</v>
      </c>
      <c r="D38" s="182">
        <f t="shared" si="1"/>
        <v>2.7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341375</v>
      </c>
      <c r="D39" s="182">
        <f t="shared" si="1"/>
        <v>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17203999.390000001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B51" sqref="B5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SOUHEGAN COOPERATIVE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2016-08-29T13:34:40Z</cp:lastPrinted>
  <dcterms:created xsi:type="dcterms:W3CDTF">1997-12-04T19:04:30Z</dcterms:created>
  <dcterms:modified xsi:type="dcterms:W3CDTF">2016-12-01T18:48:45Z</dcterms:modified>
</cp:coreProperties>
</file>