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15" yWindow="270" windowWidth="22305" windowHeight="112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86" i="1" l="1"/>
  <c r="F96" i="1" l="1"/>
  <c r="G521" i="1" l="1"/>
  <c r="F531" i="1" l="1"/>
  <c r="G531" i="1"/>
  <c r="I521" i="1"/>
  <c r="H521" i="1"/>
  <c r="F521" i="1"/>
  <c r="C20" i="12"/>
  <c r="B20" i="12"/>
  <c r="C21" i="12"/>
  <c r="C19" i="12"/>
  <c r="C12" i="12"/>
  <c r="C11" i="12"/>
  <c r="G203" i="1"/>
  <c r="K209" i="1"/>
  <c r="F582" i="1" l="1"/>
  <c r="H604" i="1"/>
  <c r="J203" i="1"/>
  <c r="J207" i="1"/>
  <c r="H197" i="1"/>
  <c r="B21" i="12"/>
  <c r="B19" i="12"/>
  <c r="B12" i="12"/>
  <c r="B11" i="12"/>
  <c r="B10" i="12"/>
  <c r="H208" i="1"/>
  <c r="H207" i="1"/>
  <c r="H204" i="1"/>
  <c r="H203" i="1"/>
  <c r="F203" i="1"/>
  <c r="F202" i="1"/>
  <c r="F110" i="1"/>
  <c r="F29" i="1"/>
  <c r="F9" i="1"/>
  <c r="H277" i="1"/>
  <c r="K283" i="1"/>
  <c r="G277" i="1"/>
  <c r="H276" i="1"/>
  <c r="H159" i="1"/>
  <c r="H155" i="1"/>
  <c r="J96" i="1"/>
  <c r="H388" i="1"/>
  <c r="J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H33" i="13"/>
  <c r="K552" i="1" l="1"/>
  <c r="J649" i="1"/>
  <c r="E33" i="13"/>
  <c r="D35" i="13" s="1"/>
  <c r="C16" i="13"/>
  <c r="C128" i="2"/>
  <c r="F660" i="1"/>
  <c r="F664" i="1" s="1"/>
  <c r="L257" i="1"/>
  <c r="L271" i="1" s="1"/>
  <c r="G632" i="1" s="1"/>
  <c r="J632" i="1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C104" i="2" l="1"/>
  <c r="C145" i="2"/>
  <c r="F672" i="1"/>
  <c r="C4" i="10" s="1"/>
  <c r="F667" i="1"/>
  <c r="D31" i="13"/>
  <c r="C31" i="13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<sst xmlns="http://schemas.openxmlformats.org/spreadsheetml/2006/main" count="3958" uniqueCount="916">
  <si>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</si>
  <si>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</si>
  <si>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</si>
  <si>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</si>
  <si>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</si>
  <si>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</si>
  <si>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</si>
  <si>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</si>
  <si>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</si>
  <si>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</si>
  <si>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</si>
  <si>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</si>
  <si>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</si>
  <si>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</si>
  <si>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</si>
  <si>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</si>
  <si>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</si>
  <si>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</si>
  <si>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</si>
  <si>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</si>
  <si>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</si>
  <si>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</si>
  <si>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</si>
  <si>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</si>
  <si>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</si>
  <si>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</si>
  <si>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</si>
  <si>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</si>
  <si>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</si>
  <si>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</si>
  <si>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</si>
  <si>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</si>
  <si>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</si>
  <si>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</si>
  <si>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</si>
  <si>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</si>
  <si>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</si>
  <si>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</si>
  <si>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</si>
  <si>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</si>
  <si>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</si>
  <si>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</si>
  <si>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</si>
  <si>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</si>
  <si>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</si>
  <si>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</si>
  <si>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</si>
  <si>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</si>
  <si>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</si>
  <si>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</si>
  <si>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</si>
  <si>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</si>
  <si>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</si>
  <si>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</si>
  <si>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</si>
  <si>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</si>
  <si>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</si>
  <si>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</si>
  <si>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</si>
  <si>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</si>
  <si>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</si>
  <si>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</si>
  <si>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</si>
  <si>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</si>
  <si>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</si>
  <si>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</si>
  <si>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</si>
  <si>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</si>
  <si>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</si>
  <si>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</si>
  <si>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</si>
  <si>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</si>
  <si>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</si>
  <si>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</si>
  <si>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</si>
  <si>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</si>
  <si>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</si>
  <si>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</si>
  <si>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</si>
  <si>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</si>
  <si>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</si>
  <si>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</si>
  <si>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</si>
  <si>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</si>
  <si>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</si>
  <si>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</si>
  <si>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</si>
  <si>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</si>
  <si>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</si>
  <si>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</si>
  <si>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</si>
  <si>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</si>
  <si>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</si>
  <si>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</si>
  <si>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</si>
  <si>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</si>
  <si>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</si>
  <si>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</si>
  <si>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</si>
  <si>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</si>
  <si>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</si>
  <si>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</si>
  <si>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</si>
  <si>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</si>
  <si>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</si>
  <si>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</si>
  <si>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</si>
  <si>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</si>
  <si>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</si>
  <si>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</si>
  <si>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</si>
  <si>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</si>
  <si>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</si>
  <si>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</si>
  <si>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</si>
  <si>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</si>
  <si>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</si>
  <si>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</si>
  <si>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</si>
  <si>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</si>
  <si>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</si>
  <si>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</si>
  <si>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</si>
  <si>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</si>
  <si>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</si>
  <si>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</si>
  <si>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</si>
  <si>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</si>
  <si>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</si>
  <si>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</si>
  <si>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</si>
  <si>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</si>
  <si>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</si>
  <si>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</si>
  <si>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</si>
  <si>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</si>
  <si>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</si>
  <si>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</si>
  <si>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</si>
  <si>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</si>
  <si>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</si>
  <si>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</si>
  <si>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</si>
  <si>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</si>
  <si>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</si>
  <si>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</si>
  <si>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</si>
  <si>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</si>
  <si>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</si>
  <si>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</si>
  <si>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</si>
  <si>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</si>
  <si>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</si>
  <si>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</si>
  <si>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</si>
  <si>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</si>
  <si>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</si>
  <si>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</si>
  <si>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</si>
  <si>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</si>
  <si>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</si>
  <si>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</si>
  <si>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</si>
  <si>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</si>
  <si>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</si>
  <si>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</si>
  <si>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</si>
  <si>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</si>
  <si>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</si>
  <si>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</si>
  <si>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</si>
  <si>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</si>
  <si>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</si>
  <si>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</si>
  <si>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</si>
  <si>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</si>
  <si>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</si>
  <si>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</si>
  <si>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</si>
  <si>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</si>
  <si>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</si>
  <si>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</si>
  <si>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</si>
  <si>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</si>
  <si>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</si>
  <si>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</si>
  <si>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</si>
  <si>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</si>
  <si>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</si>
  <si>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</si>
  <si>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</si>
  <si>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</si>
  <si>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</si>
  <si>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</si>
  <si>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</si>
  <si>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</si>
  <si>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</si>
  <si>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</si>
  <si>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</si>
  <si>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</si>
  <si>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</si>
  <si>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</si>
  <si>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</si>
  <si>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</si>
  <si>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</si>
  <si>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</si>
  <si>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</si>
  <si>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</si>
  <si>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</si>
  <si>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</si>
  <si>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</si>
  <si>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</si>
  <si>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</si>
  <si>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</si>
  <si>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</si>
  <si>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</si>
  <si>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</si>
  <si>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</si>
  <si>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</si>
  <si>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</si>
  <si>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</si>
  <si>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</si>
  <si>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</si>
  <si>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</si>
  <si>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</si>
  <si>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</si>
  <si>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</si>
  <si>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</si>
  <si>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</si>
  <si>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</si>
  <si>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</si>
  <si>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</si>
  <si>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</si>
  <si>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</si>
  <si>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</si>
  <si>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</si>
  <si>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</si>
  <si>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</si>
  <si>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</si>
  <si>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</si>
  <si>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</si>
  <si>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</si>
  <si>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</si>
  <si>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</si>
  <si>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</si>
  <si>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</si>
  <si>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</si>
  <si>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</si>
  <si>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</si>
  <si>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</si>
  <si>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</si>
  <si>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</si>
  <si>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</si>
  <si>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</si>
  <si>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</si>
  <si>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</si>
  <si>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</si>
  <si>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</si>
  <si>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</si>
  <si>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</si>
  <si>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</si>
  <si>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</si>
  <si>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</si>
  <si>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</si>
  <si>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</si>
  <si>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</si>
  <si>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</si>
  <si>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</si>
  <si>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</si>
  <si>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</si>
  <si>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</si>
  <si>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</si>
  <si>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</si>
  <si>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</si>
  <si>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</si>
  <si>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</si>
  <si>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</si>
  <si>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</si>
  <si>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</si>
  <si>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</si>
  <si>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</si>
  <si>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</si>
  <si>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</si>
  <si>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</si>
  <si>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</si>
  <si>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</si>
  <si>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</si>
  <si>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</si>
  <si>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</si>
  <si>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</si>
  <si>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</si>
  <si>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</si>
  <si>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</si>
  <si>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</si>
  <si>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</si>
  <si>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</si>
  <si>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</si>
  <si>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</si>
  <si>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</si>
  <si>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</si>
  <si>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</si>
  <si>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</si>
  <si>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</si>
  <si>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</si>
  <si>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</si>
  <si>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</si>
  <si>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</si>
  <si>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</si>
  <si>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</si>
  <si>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</si>
  <si>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</si>
  <si>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</si>
  <si>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</si>
  <si>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</si>
  <si>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</si>
  <si>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</si>
  <si>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</si>
  <si>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</si>
  <si>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</si>
  <si>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</si>
  <si>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</si>
  <si>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</si>
  <si>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</si>
  <si>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</si>
  <si>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</si>
  <si>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</si>
  <si>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</si>
  <si>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</si>
  <si>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</si>
  <si>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</si>
  <si>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</si>
  <si>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</si>
  <si>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</si>
  <si>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</si>
  <si>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</si>
  <si>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</si>
  <si>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</si>
  <si>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</si>
  <si>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</si>
  <si>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</si>
  <si>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</si>
  <si>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</si>
  <si>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</si>
  <si>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</si>
  <si>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</si>
  <si>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</si>
  <si>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</si>
  <si>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</si>
  <si>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</si>
  <si>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</si>
  <si>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</si>
  <si>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</si>
  <si>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</si>
  <si>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</si>
  <si>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</si>
  <si>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</si>
  <si>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</si>
  <si>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</si>
  <si>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</si>
  <si>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</si>
  <si>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</si>
  <si>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</si>
  <si>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</si>
  <si>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</si>
  <si>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</si>
  <si>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</si>
  <si>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</si>
  <si>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</si>
  <si>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</si>
  <si>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</si>
  <si>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</si>
  <si>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</si>
  <si>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</si>
  <si>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</si>
  <si>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</si>
  <si>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</si>
  <si>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</si>
  <si>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</si>
  <si>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</si>
  <si>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</si>
  <si>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</si>
  <si>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</si>
  <si>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</si>
  <si>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</si>
  <si>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</si>
  <si>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</si>
  <si>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</si>
  <si>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</si>
  <si>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</si>
  <si>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</si>
  <si>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</si>
  <si>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</si>
  <si>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</si>
  <si>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</si>
  <si>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</si>
  <si>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</si>
  <si>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</si>
  <si>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</si>
  <si>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</si>
  <si>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</si>
  <si>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</si>
  <si>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</si>
  <si>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</si>
  <si>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</si>
  <si>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</si>
  <si>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</si>
  <si>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</si>
  <si>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</si>
  <si>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</si>
  <si>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</si>
  <si>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</si>
  <si>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</si>
  <si>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</si>
  <si>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</si>
  <si>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</si>
  <si>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</si>
  <si>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</si>
  <si>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</si>
  <si>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</si>
  <si>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</si>
  <si>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</si>
  <si>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</si>
  <si>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</si>
  <si>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</si>
  <si>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</si>
  <si>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</si>
  <si>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</si>
  <si>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</si>
  <si>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</si>
  <si>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</si>
  <si>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</si>
  <si>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</si>
  <si>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</si>
  <si>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</si>
  <si>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</si>
  <si>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</si>
  <si>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</si>
  <si>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</si>
  <si>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</si>
  <si>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</si>
  <si>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</si>
  <si>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</si>
  <si>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</si>
  <si>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</si>
  <si>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</si>
  <si>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</si>
  <si>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</si>
  <si>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</si>
  <si>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</si>
  <si>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</si>
  <si>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</si>
  <si>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</si>
  <si>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</si>
  <si>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</si>
  <si>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</si>
  <si>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</si>
  <si>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</si>
  <si>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</si>
  <si>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</si>
  <si>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</si>
  <si>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</si>
  <si>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</si>
  <si>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</si>
  <si>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</si>
  <si>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</si>
  <si>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</si>
  <si>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</si>
  <si>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</si>
  <si>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</si>
  <si>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</si>
  <si>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</si>
  <si>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</si>
  <si>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</si>
  <si>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</si>
  <si>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</si>
  <si>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</si>
  <si>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</si>
  <si>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</si>
  <si>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</si>
  <si>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</si>
  <si>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</si>
  <si>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</si>
  <si>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</si>
  <si>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</si>
  <si>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</si>
  <si>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</si>
  <si>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</si>
  <si>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</si>
  <si>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</si>
  <si>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</si>
  <si>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</si>
  <si>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</si>
  <si>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</si>
  <si>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</si>
  <si>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</si>
  <si>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</si>
  <si>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</si>
  <si>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</si>
  <si>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</si>
  <si>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</si>
  <si>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</si>
  <si>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</si>
  <si>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</si>
  <si>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</si>
  <si>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</si>
  <si>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</si>
  <si>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</si>
  <si>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</si>
  <si>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</si>
  <si>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</si>
  <si>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</si>
  <si>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</si>
  <si>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</si>
  <si>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</si>
  <si>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</si>
  <si>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</si>
  <si>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</si>
  <si>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</si>
  <si>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</si>
  <si>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</si>
  <si>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</si>
  <si>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</si>
  <si>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</si>
  <si>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</si>
  <si>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</si>
  <si>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</si>
  <si>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</si>
  <si>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</si>
  <si>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</si>
  <si>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</si>
  <si>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</si>
  <si>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</si>
  <si>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</si>
  <si>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</si>
  <si>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</si>
  <si>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</si>
  <si>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</si>
  <si>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</si>
  <si>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</si>
  <si>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</si>
  <si>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</si>
  <si>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</si>
  <si>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</si>
  <si>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</si>
  <si>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</si>
  <si>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</si>
  <si>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</si>
  <si>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</si>
  <si>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</si>
  <si>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</si>
  <si>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</si>
  <si>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</si>
  <si>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</si>
  <si>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</si>
  <si>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</si>
  <si>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</si>
  <si>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</si>
  <si>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</si>
  <si>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</si>
  <si>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</si>
  <si>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</si>
  <si>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</si>
  <si>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</si>
  <si>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</si>
  <si>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</si>
  <si>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</si>
  <si>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</si>
  <si>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</si>
  <si>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</si>
  <si>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</si>
  <si>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</si>
  <si>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</si>
  <si>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</si>
  <si>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</si>
  <si>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</si>
  <si>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</si>
  <si>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</si>
  <si>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</si>
  <si>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</si>
  <si>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</si>
  <si>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</si>
  <si>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</si>
  <si>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</si>
  <si>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</si>
  <si>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</si>
  <si>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</si>
  <si>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</si>
  <si>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</si>
  <si>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</si>
  <si>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</si>
  <si>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</si>
  <si>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</si>
  <si>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</si>
  <si>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</si>
  <si>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</si>
  <si>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</si>
  <si>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</si>
  <si>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</si>
  <si>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</si>
  <si>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</si>
  <si>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</si>
  <si>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</si>
  <si>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</si>
  <si>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</si>
  <si>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</si>
  <si>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</si>
  <si>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</si>
  <si>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</si>
  <si>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</si>
  <si>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</si>
  <si>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</si>
  <si>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</si>
  <si>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</si>
  <si>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</si>
  <si>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</si>
  <si>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</si>
  <si>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</si>
  <si>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</si>
  <si>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</si>
  <si>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</si>
  <si>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</si>
  <si>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</si>
  <si>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</si>
  <si>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</si>
  <si>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</si>
  <si>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</si>
  <si>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</si>
  <si>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</si>
  <si>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</si>
  <si>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</si>
  <si>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</si>
  <si>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</si>
  <si>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</si>
  <si>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</si>
  <si>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</si>
  <si>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</si>
  <si>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</si>
  <si>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</si>
  <si>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</si>
  <si>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</si>
  <si>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</si>
  <si>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</si>
  <si>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</si>
  <si>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</si>
  <si>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</si>
  <si>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</si>
  <si>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</si>
  <si>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</si>
  <si>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</si>
  <si>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</si>
  <si>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</si>
  <si>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</si>
  <si>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</si>
  <si>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</si>
  <si>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</si>
  <si>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</si>
  <si>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</si>
  <si>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</si>
  <si>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</si>
  <si>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</si>
  <si>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</si>
  <si>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</si>
  <si>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</si>
  <si>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</si>
  <si>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</si>
  <si>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</si>
  <si>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</si>
  <si>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</si>
  <si>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</si>
  <si>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</si>
  <si>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</si>
  <si>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</si>
  <si>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</si>
  <si>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</si>
  <si>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</si>
  <si>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</si>
  <si>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</si>
  <si>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</si>
  <si>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</si>
  <si>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</si>
  <si>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</si>
  <si>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</si>
  <si>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</si>
  <si>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</si>
  <si>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</si>
  <si>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</si>
  <si>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</si>
  <si>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</si>
  <si>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</si>
  <si>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</si>
  <si>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</si>
  <si>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</si>
  <si>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</si>
  <si>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</si>
  <si>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</si>
  <si>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</si>
  <si>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</si>
  <si>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</si>
  <si>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</si>
  <si>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</si>
  <si>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</si>
  <si>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</si>
  <si>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</si>
  <si>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</si>
  <si>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</si>
  <si>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</si>
  <si>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</si>
  <si>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</si>
  <si>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</si>
  <si>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</si>
  <si>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</si>
  <si>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</si>
  <si>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</si>
  <si>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</si>
  <si>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</si>
  <si>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</si>
  <si>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</si>
  <si>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</si>
  <si>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</si>
  <si>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</si>
  <si>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</si>
  <si>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</si>
  <si>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</si>
  <si>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</si>
  <si>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</si>
  <si>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</si>
  <si>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</si>
  <si>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</si>
  <si>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</si>
  <si>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</si>
  <si>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</si>
  <si>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</si>
  <si>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</si>
  <si>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</si>
  <si>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</si>
  <si>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</si>
  <si>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</si>
  <si>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</si>
  <si>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</si>
  <si>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</si>
  <si>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</si>
  <si>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</si>
  <si>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</si>
  <si>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</si>
  <si>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</si>
  <si>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</si>
  <si>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</si>
  <si>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</si>
  <si>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</si>
  <si>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</si>
  <si>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</si>
  <si>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</si>
  <si>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</si>
  <si>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</si>
  <si>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</si>
  <si>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</si>
  <si>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</si>
  <si>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</si>
  <si>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</si>
  <si>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</si>
  <si>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</si>
  <si>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</si>
  <si>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</si>
  <si>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</si>
  <si>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</si>
  <si>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</si>
  <si>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</si>
  <si>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</si>
  <si>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</si>
  <si>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</si>
  <si>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</si>
  <si>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</si>
  <si>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</si>
  <si>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</si>
  <si>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</si>
  <si>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</si>
  <si>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</si>
  <si>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</si>
  <si>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</si>
  <si>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</si>
  <si>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</si>
  <si>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</si>
  <si>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</si>
  <si>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</si>
  <si>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</si>
  <si>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</si>
  <si>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</si>
  <si>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</si>
  <si>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</si>
  <si>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</si>
  <si>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</si>
  <si>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</si>
  <si>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</si>
  <si>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</si>
  <si>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</si>
  <si>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</si>
  <si>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</si>
  <si>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</si>
  <si>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</si>
  <si>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</si>
  <si>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</si>
  <si>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</si>
  <si>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</si>
  <si>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</si>
  <si>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</si>
  <si>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</si>
  <si>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</si>
  <si>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</si>
  <si>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</si>
  <si>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</si>
  <si>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</si>
  <si>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</si>
  <si>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</si>
  <si>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</si>
  <si>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</si>
  <si>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</si>
  <si>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</si>
  <si>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</si>
  <si>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</si>
  <si>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</si>
  <si>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</si>
  <si>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</si>
  <si>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</si>
  <si>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</si>
  <si>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</si>
  <si>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</si>
  <si>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</si>
  <si>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</si>
  <si>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</si>
  <si>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</si>
  <si>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</si>
  <si>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</si>
  <si>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</si>
  <si>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</si>
  <si>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</si>
  <si>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</si>
  <si>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</si>
  <si>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</si>
  <si>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</si>
  <si>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</si>
  <si>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</si>
  <si>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</si>
  <si>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</si>
  <si>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</si>
  <si>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</si>
  <si>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</si>
  <si>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</si>
  <si>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</si>
  <si>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</si>
  <si>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</si>
  <si>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</si>
  <si>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</si>
  <si>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</si>
  <si>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</si>
  <si>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</si>
  <si>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</si>
  <si>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</si>
  <si>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</si>
  <si>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</si>
  <si>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</si>
  <si>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</si>
  <si>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</si>
  <si>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</si>
  <si>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</si>
  <si>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</si>
  <si>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</si>
  <si>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</si>
  <si>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</si>
  <si>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</si>
  <si>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</si>
  <si>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</si>
  <si>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</si>
  <si>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</si>
  <si>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</si>
  <si>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</si>
  <si>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</si>
  <si>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</si>
  <si>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</si>
  <si>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</si>
  <si>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</si>
  <si>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</si>
  <si>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</si>
  <si>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</si>
  <si>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</si>
  <si>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</si>
  <si>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</si>
  <si>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</si>
  <si>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</si>
  <si>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</si>
  <si>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</si>
  <si>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</si>
  <si>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</si>
  <si>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</si>
  <si>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</si>
  <si>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</si>
  <si>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</si>
  <si>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</si>
  <si>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</si>
  <si>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</si>
  <si>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</si>
  <si>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</si>
  <si>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</si>
  <si>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</si>
  <si>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</si>
  <si>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</si>
  <si>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</si>
  <si>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</si>
  <si>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</si>
  <si>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</si>
  <si>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</si>
  <si>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</si>
  <si>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</si>
  <si>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SOUTH HAMPTON</t>
  </si>
  <si>
    <t>Other local revenue includes LGC refund of $9,614.27</t>
  </si>
  <si>
    <t>August 2000</t>
  </si>
  <si>
    <t>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</si>
</sst>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157" activePane="bottomRight" state="frozen"/>
      <selection pane="topRight" activeCell="F1" sqref="F1"/>
      <selection pane="bottomLeft" activeCell="A4" sqref="A4"/>
      <selection pane="bottomRight" activeCell="F187" sqref="F18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495</v>
      </c>
      <c r="C2" s="21">
        <v>495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183906.2+200</f>
        <v>184106.2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193408.03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2477.21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795.98</v>
      </c>
      <c r="G13" s="18">
        <v>15.81</v>
      </c>
      <c r="H13" s="18">
        <v>2765.51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1126.3800000000001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189005.77000000002</v>
      </c>
      <c r="G19" s="41">
        <f>SUM(G9:G18)</f>
        <v>15.81</v>
      </c>
      <c r="H19" s="41">
        <f>SUM(H9:H18)</f>
        <v>2765.51</v>
      </c>
      <c r="I19" s="41">
        <f>SUM(I9:I18)</f>
        <v>0</v>
      </c>
      <c r="J19" s="41">
        <f>SUM(J9:J18)</f>
        <v>193408.03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9.85</v>
      </c>
      <c r="H22" s="18">
        <v>2467.36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3671.32</v>
      </c>
      <c r="G24" s="18"/>
      <c r="H24" s="18">
        <v>298.14999999999998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495.49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37.91+3460.91+243.06</f>
        <v>3741.8799999999997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7908.6900000000005</v>
      </c>
      <c r="G32" s="41">
        <f>SUM(G22:G31)</f>
        <v>9.85</v>
      </c>
      <c r="H32" s="41">
        <f>SUM(H22:H31)</f>
        <v>2765.51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500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5.96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4571.22</v>
      </c>
      <c r="G48" s="18"/>
      <c r="H48" s="18"/>
      <c r="I48" s="18"/>
      <c r="J48" s="13">
        <f>SUM(I459)</f>
        <v>193408.03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220.41</v>
      </c>
      <c r="G49" s="18"/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150805.45000000001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181097.08000000002</v>
      </c>
      <c r="G51" s="41">
        <f>SUM(G35:G50)</f>
        <v>5.96</v>
      </c>
      <c r="H51" s="41">
        <f>SUM(H35:H50)</f>
        <v>0</v>
      </c>
      <c r="I51" s="41">
        <f>SUM(I35:I50)</f>
        <v>0</v>
      </c>
      <c r="J51" s="41">
        <f>SUM(J35:J50)</f>
        <v>193408.03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189005.77000000002</v>
      </c>
      <c r="G52" s="41">
        <f>G51+G32</f>
        <v>15.809999999999999</v>
      </c>
      <c r="H52" s="41">
        <f>H51+H32</f>
        <v>2765.51</v>
      </c>
      <c r="I52" s="41">
        <f>I51+I32</f>
        <v>0</v>
      </c>
      <c r="J52" s="41">
        <f>J51+J32</f>
        <v>193408.03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1587221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1587221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37.7+1.28</f>
        <v>38.980000000000004</v>
      </c>
      <c r="G96" s="18"/>
      <c r="H96" s="18"/>
      <c r="I96" s="18"/>
      <c r="J96" s="18">
        <f>591.54-0.02</f>
        <v>591.52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369.6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10866.91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4034.86+9614.27</f>
        <v>13649.130000000001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24555.02</v>
      </c>
      <c r="G111" s="41">
        <f>SUM(G96:G110)</f>
        <v>369.6</v>
      </c>
      <c r="H111" s="41">
        <f>SUM(H96:H110)</f>
        <v>0</v>
      </c>
      <c r="I111" s="41">
        <f>SUM(I96:I110)</f>
        <v>0</v>
      </c>
      <c r="J111" s="41">
        <f>SUM(J96:J110)</f>
        <v>591.52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1611776.02</v>
      </c>
      <c r="G112" s="41">
        <f>G60+G111</f>
        <v>369.6</v>
      </c>
      <c r="H112" s="41">
        <f>H60+H79+H94+H111</f>
        <v>0</v>
      </c>
      <c r="I112" s="41">
        <f>I60+I111</f>
        <v>0</v>
      </c>
      <c r="J112" s="41">
        <f>J60+J111</f>
        <v>591.52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21077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315294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336371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47660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34119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81779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418150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789.25+8.36+201.98</f>
        <v>999.59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279.35000000000002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21785.19+752.72</f>
        <v>22537.91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14207.31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14207.31</v>
      </c>
      <c r="G162" s="41">
        <f>SUM(G150:G161)</f>
        <v>279.35000000000002</v>
      </c>
      <c r="H162" s="41">
        <f>SUM(H150:H161)</f>
        <v>23537.5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14207.31</v>
      </c>
      <c r="G169" s="41">
        <f>G147+G162+SUM(G163:G168)</f>
        <v>279.35000000000002</v>
      </c>
      <c r="H169" s="41">
        <f>H147+H162+SUM(H163:H168)</f>
        <v>23537.5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27000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8997.7999999999993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8997.7999999999993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27000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f>17656+19975</f>
        <v>37631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37631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46628.800000000003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27000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2090762.1300000001</v>
      </c>
      <c r="G193" s="47">
        <f>G112+G140+G169+G192</f>
        <v>648.95000000000005</v>
      </c>
      <c r="H193" s="47">
        <f>H112+H140+H169+H192</f>
        <v>23537.5</v>
      </c>
      <c r="I193" s="47">
        <f>I112+I140+I169+I192</f>
        <v>0</v>
      </c>
      <c r="J193" s="47">
        <f>J112+J140+J192</f>
        <v>27591.52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446561.19</v>
      </c>
      <c r="G197" s="18">
        <v>155978.45000000001</v>
      </c>
      <c r="H197" s="18">
        <f>3904.07</f>
        <v>3904.07</v>
      </c>
      <c r="I197" s="18">
        <v>14024.78</v>
      </c>
      <c r="J197" s="18"/>
      <c r="K197" s="18"/>
      <c r="L197" s="19">
        <f>SUM(F197:K197)</f>
        <v>620468.49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184161.12</v>
      </c>
      <c r="G198" s="18">
        <v>38597.18</v>
      </c>
      <c r="H198" s="18">
        <v>141796.12</v>
      </c>
      <c r="I198" s="18">
        <v>2492.09</v>
      </c>
      <c r="J198" s="18"/>
      <c r="K198" s="18">
        <v>780</v>
      </c>
      <c r="L198" s="19">
        <f>SUM(F198:K198)</f>
        <v>367826.51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6540</v>
      </c>
      <c r="G200" s="18">
        <v>536.28</v>
      </c>
      <c r="H200" s="18">
        <v>1100</v>
      </c>
      <c r="I200" s="18">
        <v>1334.52</v>
      </c>
      <c r="J200" s="18"/>
      <c r="K200" s="18"/>
      <c r="L200" s="19">
        <f>SUM(F200:K200)</f>
        <v>9510.7999999999993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11381.79+9148.26</f>
        <v>20530.050000000003</v>
      </c>
      <c r="G202" s="18">
        <v>1724.46</v>
      </c>
      <c r="H202" s="18">
        <v>345</v>
      </c>
      <c r="I202" s="18">
        <v>78.63</v>
      </c>
      <c r="J202" s="18">
        <v>65</v>
      </c>
      <c r="K202" s="18"/>
      <c r="L202" s="19">
        <f t="shared" ref="L202:L208" si="0">SUM(F202:K202)</f>
        <v>22743.140000000003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500+17426.25</f>
        <v>17926.25</v>
      </c>
      <c r="G203" s="18">
        <f>1849.98+1460.95</f>
        <v>3310.9300000000003</v>
      </c>
      <c r="H203" s="18">
        <f>5623.37+237.99</f>
        <v>5861.36</v>
      </c>
      <c r="I203" s="18">
        <v>14509.78</v>
      </c>
      <c r="J203" s="18">
        <f>6554.45+19972.8</f>
        <v>26527.25</v>
      </c>
      <c r="K203" s="18"/>
      <c r="L203" s="19">
        <f t="shared" si="0"/>
        <v>68135.570000000007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6484</v>
      </c>
      <c r="G204" s="18">
        <v>502.51</v>
      </c>
      <c r="H204" s="18">
        <f>10326.3+33015</f>
        <v>43341.3</v>
      </c>
      <c r="I204" s="18">
        <v>1163.02</v>
      </c>
      <c r="J204" s="18"/>
      <c r="K204" s="18">
        <v>3080.06</v>
      </c>
      <c r="L204" s="19">
        <f t="shared" si="0"/>
        <v>54570.89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115460.04</v>
      </c>
      <c r="G205" s="18">
        <v>42268.160000000003</v>
      </c>
      <c r="H205" s="18">
        <v>1241.3699999999999</v>
      </c>
      <c r="I205" s="18"/>
      <c r="J205" s="18"/>
      <c r="K205" s="18">
        <v>765</v>
      </c>
      <c r="L205" s="19">
        <f t="shared" si="0"/>
        <v>159734.57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35126.120000000003</v>
      </c>
      <c r="G207" s="18">
        <v>2880.34</v>
      </c>
      <c r="H207" s="18">
        <f>104623.33+8658</f>
        <v>113281.33</v>
      </c>
      <c r="I207" s="18">
        <v>37383.5</v>
      </c>
      <c r="J207" s="18">
        <f>612.29+23581.14</f>
        <v>24193.43</v>
      </c>
      <c r="K207" s="18"/>
      <c r="L207" s="19">
        <f t="shared" si="0"/>
        <v>212864.72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48578.53+2847.02+1099.09+909.16</f>
        <v>53433.799999999996</v>
      </c>
      <c r="I208" s="18"/>
      <c r="J208" s="18"/>
      <c r="K208" s="18"/>
      <c r="L208" s="19">
        <f t="shared" si="0"/>
        <v>53433.799999999996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f>42.75+999.96</f>
        <v>1042.71</v>
      </c>
      <c r="L209" s="19">
        <f>SUM(F209:K209)</f>
        <v>1042.71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832788.77000000014</v>
      </c>
      <c r="G211" s="41">
        <f t="shared" si="1"/>
        <v>245798.31</v>
      </c>
      <c r="H211" s="41">
        <f t="shared" si="1"/>
        <v>364304.35</v>
      </c>
      <c r="I211" s="41">
        <f t="shared" si="1"/>
        <v>70986.320000000007</v>
      </c>
      <c r="J211" s="41">
        <f t="shared" si="1"/>
        <v>50785.68</v>
      </c>
      <c r="K211" s="41">
        <f t="shared" si="1"/>
        <v>5667.7699999999995</v>
      </c>
      <c r="L211" s="41">
        <f t="shared" si="1"/>
        <v>1570331.2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329223.32</v>
      </c>
      <c r="I233" s="18"/>
      <c r="J233" s="18"/>
      <c r="K233" s="18"/>
      <c r="L233" s="19">
        <f>SUM(F233:K233)</f>
        <v>329223.32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329223.32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329223.32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832788.77000000014</v>
      </c>
      <c r="G257" s="41">
        <f t="shared" si="8"/>
        <v>245798.31</v>
      </c>
      <c r="H257" s="41">
        <f t="shared" si="8"/>
        <v>693527.66999999993</v>
      </c>
      <c r="I257" s="41">
        <f t="shared" si="8"/>
        <v>70986.320000000007</v>
      </c>
      <c r="J257" s="41">
        <f t="shared" si="8"/>
        <v>50785.68</v>
      </c>
      <c r="K257" s="41">
        <f t="shared" si="8"/>
        <v>5667.7699999999995</v>
      </c>
      <c r="L257" s="41">
        <f t="shared" si="8"/>
        <v>1899554.52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135000</v>
      </c>
      <c r="L260" s="19">
        <f>SUM(F260:K260)</f>
        <v>135000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3577.5</v>
      </c>
      <c r="L261" s="19">
        <f>SUM(F261:K261)</f>
        <v>3577.5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27000</v>
      </c>
      <c r="L266" s="19">
        <f t="shared" si="9"/>
        <v>27000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165577.5</v>
      </c>
      <c r="L270" s="41">
        <f t="shared" si="9"/>
        <v>165577.5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832788.77000000014</v>
      </c>
      <c r="G271" s="42">
        <f t="shared" si="11"/>
        <v>245798.31</v>
      </c>
      <c r="H271" s="42">
        <f t="shared" si="11"/>
        <v>693527.66999999993</v>
      </c>
      <c r="I271" s="42">
        <f t="shared" si="11"/>
        <v>70986.320000000007</v>
      </c>
      <c r="J271" s="42">
        <f t="shared" si="11"/>
        <v>50785.68</v>
      </c>
      <c r="K271" s="42">
        <f t="shared" si="11"/>
        <v>171245.27</v>
      </c>
      <c r="L271" s="42">
        <f t="shared" si="11"/>
        <v>2065132.02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f>969</f>
        <v>969</v>
      </c>
      <c r="I276" s="18"/>
      <c r="J276" s="18"/>
      <c r="K276" s="18"/>
      <c r="L276" s="19">
        <f>SUM(F276:K276)</f>
        <v>969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1950</v>
      </c>
      <c r="G277" s="18">
        <f>149.19+6.82+8.58</f>
        <v>164.59</v>
      </c>
      <c r="H277" s="18">
        <f>4470+6500+374</f>
        <v>11344</v>
      </c>
      <c r="I277" s="18">
        <v>4332.26</v>
      </c>
      <c r="J277" s="18">
        <v>4414</v>
      </c>
      <c r="K277" s="18"/>
      <c r="L277" s="19">
        <f>SUM(F277:K277)</f>
        <v>22204.85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f>65.5+298.15</f>
        <v>363.65</v>
      </c>
      <c r="L283" s="19">
        <f t="shared" si="12"/>
        <v>363.65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1950</v>
      </c>
      <c r="G290" s="42">
        <f t="shared" si="13"/>
        <v>164.59</v>
      </c>
      <c r="H290" s="42">
        <f t="shared" si="13"/>
        <v>12313</v>
      </c>
      <c r="I290" s="42">
        <f t="shared" si="13"/>
        <v>4332.26</v>
      </c>
      <c r="J290" s="42">
        <f t="shared" si="13"/>
        <v>4414</v>
      </c>
      <c r="K290" s="42">
        <f t="shared" si="13"/>
        <v>363.65</v>
      </c>
      <c r="L290" s="41">
        <f t="shared" si="13"/>
        <v>23537.5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1950</v>
      </c>
      <c r="G338" s="41">
        <f t="shared" si="20"/>
        <v>164.59</v>
      </c>
      <c r="H338" s="41">
        <f t="shared" si="20"/>
        <v>12313</v>
      </c>
      <c r="I338" s="41">
        <f t="shared" si="20"/>
        <v>4332.26</v>
      </c>
      <c r="J338" s="41">
        <f t="shared" si="20"/>
        <v>4414</v>
      </c>
      <c r="K338" s="41">
        <f t="shared" si="20"/>
        <v>363.65</v>
      </c>
      <c r="L338" s="41">
        <f t="shared" si="20"/>
        <v>23537.5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1950</v>
      </c>
      <c r="G352" s="41">
        <f>G338</f>
        <v>164.59</v>
      </c>
      <c r="H352" s="41">
        <f>H338</f>
        <v>12313</v>
      </c>
      <c r="I352" s="41">
        <f>I338</f>
        <v>4332.26</v>
      </c>
      <c r="J352" s="41">
        <f>J338</f>
        <v>4414</v>
      </c>
      <c r="K352" s="47">
        <f>K338+K351</f>
        <v>363.65</v>
      </c>
      <c r="L352" s="41">
        <f>L338+L351</f>
        <v>23537.5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555</v>
      </c>
      <c r="G358" s="18"/>
      <c r="H358" s="18"/>
      <c r="I358" s="18">
        <v>282.68</v>
      </c>
      <c r="J358" s="18"/>
      <c r="K358" s="18"/>
      <c r="L358" s="13">
        <f>SUM(F358:K358)</f>
        <v>837.68000000000006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555</v>
      </c>
      <c r="G362" s="47">
        <f t="shared" si="22"/>
        <v>0</v>
      </c>
      <c r="H362" s="47">
        <f t="shared" si="22"/>
        <v>0</v>
      </c>
      <c r="I362" s="47">
        <f t="shared" si="22"/>
        <v>282.68</v>
      </c>
      <c r="J362" s="47">
        <f t="shared" si="22"/>
        <v>0</v>
      </c>
      <c r="K362" s="47">
        <f t="shared" si="22"/>
        <v>0</v>
      </c>
      <c r="L362" s="47">
        <f t="shared" si="22"/>
        <v>837.68000000000006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282.68</v>
      </c>
      <c r="G367" s="18"/>
      <c r="H367" s="18"/>
      <c r="I367" s="56">
        <f>SUM(F367:H367)</f>
        <v>282.68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282.68</v>
      </c>
      <c r="G369" s="47">
        <f>SUM(G367:G368)</f>
        <v>0</v>
      </c>
      <c r="H369" s="47">
        <f>SUM(H367:H368)</f>
        <v>0</v>
      </c>
      <c r="I369" s="47">
        <f>SUM(I367:I368)</f>
        <v>282.68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8997.7999999999993</v>
      </c>
      <c r="L381" s="13">
        <f t="shared" si="23"/>
        <v>8997.7999999999993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8997.7999999999993</v>
      </c>
      <c r="L382" s="47">
        <f t="shared" si="24"/>
        <v>8997.7999999999993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f>17.44-0.02</f>
        <v>17.420000000000002</v>
      </c>
      <c r="I388" s="18"/>
      <c r="J388" s="24" t="s">
        <v>289</v>
      </c>
      <c r="K388" s="24" t="s">
        <v>289</v>
      </c>
      <c r="L388" s="56">
        <f t="shared" si="25"/>
        <v>17.420000000000002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17.420000000000002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17.420000000000002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</v>
      </c>
      <c r="H396" s="18">
        <v>120.72</v>
      </c>
      <c r="I396" s="18"/>
      <c r="J396" s="24" t="s">
        <v>289</v>
      </c>
      <c r="K396" s="24" t="s">
        <v>289</v>
      </c>
      <c r="L396" s="56">
        <f t="shared" si="26"/>
        <v>5120.72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417.37</v>
      </c>
      <c r="I397" s="18"/>
      <c r="J397" s="24" t="s">
        <v>289</v>
      </c>
      <c r="K397" s="24" t="s">
        <v>289</v>
      </c>
      <c r="L397" s="56">
        <f t="shared" si="26"/>
        <v>15417.37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7000</v>
      </c>
      <c r="H399" s="18">
        <v>5.29</v>
      </c>
      <c r="I399" s="18"/>
      <c r="J399" s="24" t="s">
        <v>289</v>
      </c>
      <c r="K399" s="24" t="s">
        <v>289</v>
      </c>
      <c r="L399" s="56">
        <f t="shared" si="26"/>
        <v>7005.29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30.72</v>
      </c>
      <c r="I400" s="18"/>
      <c r="J400" s="24" t="s">
        <v>289</v>
      </c>
      <c r="K400" s="24" t="s">
        <v>289</v>
      </c>
      <c r="L400" s="56">
        <f t="shared" si="26"/>
        <v>30.72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27000</v>
      </c>
      <c r="H401" s="47">
        <f>SUM(H395:H400)</f>
        <v>574.1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27574.100000000002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27000</v>
      </c>
      <c r="H408" s="47">
        <f>H393+H401+H407</f>
        <v>591.52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27591.52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17656</v>
      </c>
      <c r="L422" s="56">
        <f t="shared" si="29"/>
        <v>17656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19975</v>
      </c>
      <c r="L425" s="56">
        <f t="shared" si="29"/>
        <v>19975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37631</v>
      </c>
      <c r="L427" s="47">
        <f t="shared" si="30"/>
        <v>37631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37631</v>
      </c>
      <c r="L434" s="47">
        <f t="shared" si="32"/>
        <v>37631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193408.03</v>
      </c>
      <c r="H440" s="18"/>
      <c r="I440" s="56">
        <f t="shared" si="33"/>
        <v>193408.03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193408.03</v>
      </c>
      <c r="H446" s="13">
        <f>SUM(H439:H445)</f>
        <v>0</v>
      </c>
      <c r="I446" s="13">
        <f>SUM(I439:I445)</f>
        <v>193408.03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193408.03</v>
      </c>
      <c r="H459" s="18"/>
      <c r="I459" s="56">
        <f t="shared" si="34"/>
        <v>193408.03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193408.03</v>
      </c>
      <c r="H460" s="83">
        <f>SUM(H454:H459)</f>
        <v>0</v>
      </c>
      <c r="I460" s="83">
        <f>SUM(I454:I459)</f>
        <v>193408.03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193408.03</v>
      </c>
      <c r="H461" s="42">
        <f>H452+H460</f>
        <v>0</v>
      </c>
      <c r="I461" s="42">
        <f>I452+I460</f>
        <v>193408.03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155466.97</v>
      </c>
      <c r="G465" s="18">
        <v>194.69</v>
      </c>
      <c r="H465" s="18">
        <v>0</v>
      </c>
      <c r="I465" s="18">
        <v>8997.7999999999993</v>
      </c>
      <c r="J465" s="18">
        <v>203447.51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2090762.13</v>
      </c>
      <c r="G468" s="18">
        <v>648.95000000000005</v>
      </c>
      <c r="H468" s="18">
        <v>23537.5</v>
      </c>
      <c r="I468" s="18"/>
      <c r="J468" s="18">
        <f>27000+591.54-0.02</f>
        <v>27591.52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2090762.13</v>
      </c>
      <c r="G470" s="53">
        <f>SUM(G468:G469)</f>
        <v>648.95000000000005</v>
      </c>
      <c r="H470" s="53">
        <f>SUM(H468:H469)</f>
        <v>23537.5</v>
      </c>
      <c r="I470" s="53">
        <f>SUM(I468:I469)</f>
        <v>0</v>
      </c>
      <c r="J470" s="53">
        <f>SUM(J468:J469)</f>
        <v>27591.52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2065132.02</v>
      </c>
      <c r="G472" s="18">
        <v>837.68</v>
      </c>
      <c r="H472" s="18">
        <v>23537.5</v>
      </c>
      <c r="I472" s="18">
        <v>8997.7999999999993</v>
      </c>
      <c r="J472" s="18">
        <v>37631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2065132.02</v>
      </c>
      <c r="G474" s="53">
        <f>SUM(G472:G473)</f>
        <v>837.68</v>
      </c>
      <c r="H474" s="53">
        <f>SUM(H472:H473)</f>
        <v>23537.5</v>
      </c>
      <c r="I474" s="53">
        <f>SUM(I472:I473)</f>
        <v>8997.7999999999993</v>
      </c>
      <c r="J474" s="53">
        <f>SUM(J472:J473)</f>
        <v>37631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181097.08000000007</v>
      </c>
      <c r="G476" s="53">
        <f>(G465+G470)- G474</f>
        <v>5.9600000000001501</v>
      </c>
      <c r="H476" s="53">
        <f>(H465+H470)- H474</f>
        <v>0</v>
      </c>
      <c r="I476" s="53">
        <f>(I465+I470)- I474</f>
        <v>0</v>
      </c>
      <c r="J476" s="53">
        <f>(J465+J470)- J474</f>
        <v>193408.03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1430000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135000</v>
      </c>
      <c r="G495" s="18"/>
      <c r="H495" s="18"/>
      <c r="I495" s="18"/>
      <c r="J495" s="18"/>
      <c r="K495" s="53">
        <f>SUM(F495:J495)</f>
        <v>135000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138577.5</v>
      </c>
      <c r="G497" s="18"/>
      <c r="H497" s="18"/>
      <c r="I497" s="18"/>
      <c r="J497" s="18"/>
      <c r="K497" s="53">
        <f t="shared" si="35"/>
        <v>138577.5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53703.82+49337+1950</f>
        <v>104990.82</v>
      </c>
      <c r="G521" s="18">
        <f>13044.44+4255.25+164.59</f>
        <v>17464.280000000002</v>
      </c>
      <c r="H521" s="18">
        <f>141796.12-312+4120+6500+374+350</f>
        <v>152828.12</v>
      </c>
      <c r="I521" s="18">
        <f>2492.09+3940.66+391.6</f>
        <v>6824.35</v>
      </c>
      <c r="J521" s="18">
        <v>4414</v>
      </c>
      <c r="K521" s="18"/>
      <c r="L521" s="88">
        <f>SUM(F521:K521)</f>
        <v>286521.56999999995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104990.82</v>
      </c>
      <c r="G524" s="108">
        <f t="shared" ref="G524:L524" si="36">SUM(G521:G523)</f>
        <v>17464.280000000002</v>
      </c>
      <c r="H524" s="108">
        <f t="shared" si="36"/>
        <v>152828.12</v>
      </c>
      <c r="I524" s="108">
        <f t="shared" si="36"/>
        <v>6824.35</v>
      </c>
      <c r="J524" s="108">
        <f t="shared" si="36"/>
        <v>4414</v>
      </c>
      <c r="K524" s="108">
        <f t="shared" si="36"/>
        <v>0</v>
      </c>
      <c r="L524" s="89">
        <f t="shared" si="36"/>
        <v>286521.56999999995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>
        <v>780</v>
      </c>
      <c r="L526" s="88">
        <f>SUM(F526:K526)</f>
        <v>780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780</v>
      </c>
      <c r="L529" s="89">
        <f t="shared" si="37"/>
        <v>780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76988+4132.3</f>
        <v>81120.3</v>
      </c>
      <c r="G531" s="18">
        <f>20482.19+815.3</f>
        <v>21297.489999999998</v>
      </c>
      <c r="H531" s="18"/>
      <c r="I531" s="18"/>
      <c r="J531" s="18"/>
      <c r="K531" s="18">
        <v>46.25</v>
      </c>
      <c r="L531" s="88">
        <f>SUM(F531:K531)</f>
        <v>102464.04000000001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81120.3</v>
      </c>
      <c r="G534" s="89">
        <f t="shared" ref="G534:L534" si="38">SUM(G531:G533)</f>
        <v>21297.489999999998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46.25</v>
      </c>
      <c r="L534" s="89">
        <f t="shared" si="38"/>
        <v>102464.04000000001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312</v>
      </c>
      <c r="I536" s="18"/>
      <c r="J536" s="18"/>
      <c r="K536" s="18"/>
      <c r="L536" s="88">
        <f>SUM(F536:K536)</f>
        <v>312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312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312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2847.02</v>
      </c>
      <c r="I541" s="18"/>
      <c r="J541" s="18"/>
      <c r="K541" s="18"/>
      <c r="L541" s="88">
        <f>SUM(F541:K541)</f>
        <v>2847.02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2847.02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2847.02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186111.12</v>
      </c>
      <c r="G545" s="89">
        <f t="shared" ref="G545:L545" si="41">G524+G529+G534+G539+G544</f>
        <v>38761.770000000004</v>
      </c>
      <c r="H545" s="89">
        <f t="shared" si="41"/>
        <v>155987.13999999998</v>
      </c>
      <c r="I545" s="89">
        <f t="shared" si="41"/>
        <v>6824.35</v>
      </c>
      <c r="J545" s="89">
        <f t="shared" si="41"/>
        <v>4414</v>
      </c>
      <c r="K545" s="89">
        <f t="shared" si="41"/>
        <v>826.25</v>
      </c>
      <c r="L545" s="89">
        <f t="shared" si="41"/>
        <v>392924.63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286521.56999999995</v>
      </c>
      <c r="G549" s="87">
        <f>L526</f>
        <v>780</v>
      </c>
      <c r="H549" s="87">
        <f>L531</f>
        <v>102464.04000000001</v>
      </c>
      <c r="I549" s="87">
        <f>L536</f>
        <v>312</v>
      </c>
      <c r="J549" s="87">
        <f>L541</f>
        <v>2847.02</v>
      </c>
      <c r="K549" s="87">
        <f>SUM(F549:J549)</f>
        <v>392924.63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286521.56999999995</v>
      </c>
      <c r="G552" s="89">
        <f t="shared" si="42"/>
        <v>780</v>
      </c>
      <c r="H552" s="89">
        <f t="shared" si="42"/>
        <v>102464.04000000001</v>
      </c>
      <c r="I552" s="89">
        <f t="shared" si="42"/>
        <v>312</v>
      </c>
      <c r="J552" s="89">
        <f t="shared" si="42"/>
        <v>2847.02</v>
      </c>
      <c r="K552" s="89">
        <f t="shared" si="42"/>
        <v>392924.63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329223.32</v>
      </c>
      <c r="I576" s="87">
        <f t="shared" ref="I576:I587" si="47">SUM(F576:H576)</f>
        <v>329223.32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4888.1499999999996</v>
      </c>
      <c r="G579" s="18"/>
      <c r="H579" s="18"/>
      <c r="I579" s="87">
        <f t="shared" si="47"/>
        <v>4888.1499999999996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23494.05-4888.15</f>
        <v>18605.900000000001</v>
      </c>
      <c r="G582" s="18"/>
      <c r="H582" s="18"/>
      <c r="I582" s="87">
        <f t="shared" si="47"/>
        <v>18605.900000000001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48578.53</v>
      </c>
      <c r="I591" s="18"/>
      <c r="J591" s="18"/>
      <c r="K591" s="104">
        <f t="shared" ref="K591:K597" si="48">SUM(H591:J591)</f>
        <v>48578.53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2847.02</v>
      </c>
      <c r="I592" s="18"/>
      <c r="J592" s="18"/>
      <c r="K592" s="104">
        <f t="shared" si="48"/>
        <v>2847.02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1099.0899999999999</v>
      </c>
      <c r="I594" s="18"/>
      <c r="J594" s="18"/>
      <c r="K594" s="104">
        <f t="shared" si="48"/>
        <v>1099.0899999999999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909.16</v>
      </c>
      <c r="I595" s="18"/>
      <c r="J595" s="18"/>
      <c r="K595" s="104">
        <f t="shared" si="48"/>
        <v>909.16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53433.799999999996</v>
      </c>
      <c r="I598" s="108">
        <f>SUM(I591:I597)</f>
        <v>0</v>
      </c>
      <c r="J598" s="108">
        <f>SUM(J591:J597)</f>
        <v>0</v>
      </c>
      <c r="K598" s="108">
        <f>SUM(K591:K597)</f>
        <v>53433.799999999996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23581.14</v>
      </c>
      <c r="I603" s="18"/>
      <c r="J603" s="18"/>
      <c r="K603" s="104">
        <f>SUM(H603:J603)</f>
        <v>23581.14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7231.74+4414+19972.8</f>
        <v>31618.54</v>
      </c>
      <c r="I604" s="18"/>
      <c r="J604" s="18"/>
      <c r="K604" s="104">
        <f>SUM(H604:J604)</f>
        <v>31618.54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55199.68</v>
      </c>
      <c r="I605" s="108">
        <f>SUM(I602:I604)</f>
        <v>0</v>
      </c>
      <c r="J605" s="108">
        <f>SUM(J602:J604)</f>
        <v>0</v>
      </c>
      <c r="K605" s="108">
        <f>SUM(K602:K604)</f>
        <v>55199.68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189005.77000000002</v>
      </c>
      <c r="H617" s="109">
        <f>SUM(F52)</f>
        <v>189005.77000000002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15.81</v>
      </c>
      <c r="H618" s="109">
        <f>SUM(G52)</f>
        <v>15.809999999999999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2765.51</v>
      </c>
      <c r="H619" s="109">
        <f>SUM(H52)</f>
        <v>2765.51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193408.03</v>
      </c>
      <c r="H621" s="109">
        <f>SUM(J52)</f>
        <v>193408.03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181097.08000000002</v>
      </c>
      <c r="H622" s="109">
        <f>F476</f>
        <v>181097.08000000007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5.96</v>
      </c>
      <c r="H623" s="109">
        <f>G476</f>
        <v>5.9600000000001501</v>
      </c>
      <c r="I623" s="121" t="s">
        <v>102</v>
      </c>
      <c r="J623" s="109">
        <f t="shared" si="50"/>
        <v>-1.5010215292932116E-13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193408.03</v>
      </c>
      <c r="H626" s="109">
        <f>J476</f>
        <v>193408.03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2090762.1300000001</v>
      </c>
      <c r="H627" s="104">
        <f>SUM(F468)</f>
        <v>2090762.13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648.95000000000005</v>
      </c>
      <c r="H628" s="104">
        <f>SUM(G468)</f>
        <v>648.95000000000005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23537.5</v>
      </c>
      <c r="H629" s="104">
        <f>SUM(H468)</f>
        <v>23537.5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27591.52</v>
      </c>
      <c r="H631" s="104">
        <f>SUM(J468)</f>
        <v>27591.52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2065132.02</v>
      </c>
      <c r="H632" s="104">
        <f>SUM(F472)</f>
        <v>2065132.02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23537.5</v>
      </c>
      <c r="H633" s="104">
        <f>SUM(H472)</f>
        <v>23537.5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282.68</v>
      </c>
      <c r="H634" s="104">
        <f>I369</f>
        <v>282.68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837.68000000000006</v>
      </c>
      <c r="H635" s="104">
        <f>SUM(G472)</f>
        <v>837.68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8997.7999999999993</v>
      </c>
      <c r="H636" s="104">
        <f>SUM(I472)</f>
        <v>8997.7999999999993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27591.52</v>
      </c>
      <c r="H637" s="164">
        <f>SUM(J468)</f>
        <v>27591.52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37631</v>
      </c>
      <c r="H638" s="164">
        <f>SUM(J472)</f>
        <v>37631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193408.03</v>
      </c>
      <c r="H640" s="104">
        <f>SUM(G461)</f>
        <v>193408.03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193408.03</v>
      </c>
      <c r="H642" s="104">
        <f>SUM(I461)</f>
        <v>193408.03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591.52</v>
      </c>
      <c r="H644" s="104">
        <f>H408</f>
        <v>591.52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27000</v>
      </c>
      <c r="H645" s="104">
        <f>G408</f>
        <v>27000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27591.52</v>
      </c>
      <c r="H646" s="104">
        <f>L408</f>
        <v>27591.52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53433.799999999996</v>
      </c>
      <c r="H647" s="104">
        <f>L208+L226+L244</f>
        <v>53433.799999999996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55199.68</v>
      </c>
      <c r="H648" s="104">
        <f>(J257+J338)-(J255+J336)</f>
        <v>55199.68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53433.799999999996</v>
      </c>
      <c r="H649" s="104">
        <f>H598</f>
        <v>53433.799999999996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27000</v>
      </c>
      <c r="H655" s="104">
        <f>K266+K347</f>
        <v>27000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1594706.38</v>
      </c>
      <c r="G660" s="19">
        <f>(L229+L309+L359)</f>
        <v>0</v>
      </c>
      <c r="H660" s="19">
        <f>(L247+L328+L360)</f>
        <v>329223.32</v>
      </c>
      <c r="I660" s="19">
        <f>SUM(F660:H660)</f>
        <v>1923929.7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369.6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369.6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53433.799999999996</v>
      </c>
      <c r="G662" s="19">
        <f>(L226+L306)-(J226+J306)</f>
        <v>0</v>
      </c>
      <c r="H662" s="19">
        <f>(L244+L325)-(J244+J325)</f>
        <v>0</v>
      </c>
      <c r="I662" s="19">
        <f>SUM(F662:H662)</f>
        <v>53433.799999999996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78693.73000000001</v>
      </c>
      <c r="G663" s="199">
        <f>SUM(G575:G587)+SUM(I602:I604)+L612</f>
        <v>0</v>
      </c>
      <c r="H663" s="199">
        <f>SUM(H575:H587)+SUM(J602:J604)+L613</f>
        <v>329223.32</v>
      </c>
      <c r="I663" s="19">
        <f>SUM(F663:H663)</f>
        <v>407917.05000000005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1462209.25</v>
      </c>
      <c r="G664" s="19">
        <f>G660-SUM(G661:G663)</f>
        <v>0</v>
      </c>
      <c r="H664" s="19">
        <f>H660-SUM(H661:H663)</f>
        <v>0</v>
      </c>
      <c r="I664" s="19">
        <f>I660-SUM(I661:I663)</f>
        <v>1462209.25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65.33</v>
      </c>
      <c r="G665" s="248"/>
      <c r="H665" s="248"/>
      <c r="I665" s="19">
        <f>SUM(F665:H665)</f>
        <v>65.33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22381.9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22381.9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22381.9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22381.9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view="pageLayout" zoomScaleNormal="100" workbookViewId="0">
      <selection activeCell="A6" sqref="A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446561.19</v>
      </c>
      <c r="C9" s="229">
        <f>'DOE25'!G197+'DOE25'!G215+'DOE25'!G233+'DOE25'!G276+'DOE25'!G295+'DOE25'!G314</f>
        <v>155978.45000000001</v>
      </c>
    </row>
    <row r="10" spans="1:3" x14ac:dyDescent="0.2">
      <c r="A10" t="s">
        <v>779</v>
      </c>
      <c r="B10" s="240">
        <f>418521.01</f>
        <v>418521.01</v>
      </c>
      <c r="C10" s="240">
        <v>153621.51</v>
      </c>
    </row>
    <row r="11" spans="1:3" x14ac:dyDescent="0.2">
      <c r="A11" t="s">
        <v>780</v>
      </c>
      <c r="B11" s="240">
        <f>18744.18</f>
        <v>18744.18</v>
      </c>
      <c r="C11" s="240">
        <f>1636.5</f>
        <v>1636.5</v>
      </c>
    </row>
    <row r="12" spans="1:3" x14ac:dyDescent="0.2">
      <c r="A12" t="s">
        <v>781</v>
      </c>
      <c r="B12" s="240">
        <f>9296</f>
        <v>9296</v>
      </c>
      <c r="C12" s="240">
        <f>720.44</f>
        <v>720.44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446561.19</v>
      </c>
      <c r="C13" s="231">
        <f>SUM(C10:C12)</f>
        <v>155978.45000000001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186111.12</v>
      </c>
      <c r="C18" s="229">
        <f>'DOE25'!G198+'DOE25'!G216+'DOE25'!G234+'DOE25'!G277+'DOE25'!G296+'DOE25'!G315</f>
        <v>38761.769999999997</v>
      </c>
    </row>
    <row r="19" spans="1:3" x14ac:dyDescent="0.2">
      <c r="A19" t="s">
        <v>779</v>
      </c>
      <c r="B19" s="240">
        <f>53703.82</f>
        <v>53703.82</v>
      </c>
      <c r="C19" s="240">
        <f>13044.44</f>
        <v>13044.44</v>
      </c>
    </row>
    <row r="20" spans="1:3" x14ac:dyDescent="0.2">
      <c r="A20" t="s">
        <v>780</v>
      </c>
      <c r="B20" s="240">
        <f>49337+1950</f>
        <v>51287</v>
      </c>
      <c r="C20" s="240">
        <f>4255.25+164.59</f>
        <v>4419.84</v>
      </c>
    </row>
    <row r="21" spans="1:3" x14ac:dyDescent="0.2">
      <c r="A21" t="s">
        <v>781</v>
      </c>
      <c r="B21" s="240">
        <f>76988+4132.3</f>
        <v>81120.3</v>
      </c>
      <c r="C21" s="240">
        <f>20482.19+815.3</f>
        <v>21297.489999999998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186111.12</v>
      </c>
      <c r="C22" s="231">
        <f>SUM(C19:C21)</f>
        <v>38761.769999999997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6540</v>
      </c>
      <c r="C36" s="235">
        <f>'DOE25'!G200+'DOE25'!G218+'DOE25'!G236+'DOE25'!G279+'DOE25'!G298+'DOE25'!G317</f>
        <v>536.28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6540</v>
      </c>
      <c r="C39" s="240">
        <v>536.28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6540</v>
      </c>
      <c r="C40" s="231">
        <f>SUM(C37:C39)</f>
        <v>536.28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SOUTH HAMPTON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1327029.1200000001</v>
      </c>
      <c r="D5" s="20">
        <f>SUM('DOE25'!L197:L200)+SUM('DOE25'!L215:L218)+SUM('DOE25'!L233:L236)-F5-G5</f>
        <v>1326249.1200000001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780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22743.140000000003</v>
      </c>
      <c r="D6" s="20">
        <f>'DOE25'!L202+'DOE25'!L220+'DOE25'!L238-F6-G6</f>
        <v>22678.140000000003</v>
      </c>
      <c r="E6" s="243"/>
      <c r="F6" s="255">
        <f>'DOE25'!J202+'DOE25'!J220+'DOE25'!J238</f>
        <v>65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68135.570000000007</v>
      </c>
      <c r="D7" s="20">
        <f>'DOE25'!L203+'DOE25'!L221+'DOE25'!L239-F7-G7</f>
        <v>41608.320000000007</v>
      </c>
      <c r="E7" s="243"/>
      <c r="F7" s="255">
        <f>'DOE25'!J203+'DOE25'!J221+'DOE25'!J239</f>
        <v>26527.25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23280.74</v>
      </c>
      <c r="D8" s="243"/>
      <c r="E8" s="20">
        <f>'DOE25'!L204+'DOE25'!L222+'DOE25'!L240-F8-G8-D9-D11</f>
        <v>20200.68</v>
      </c>
      <c r="F8" s="255">
        <f>'DOE25'!J204+'DOE25'!J222+'DOE25'!J240</f>
        <v>0</v>
      </c>
      <c r="G8" s="53">
        <f>'DOE25'!K204+'DOE25'!K222+'DOE25'!K240</f>
        <v>3080.06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19890.36</v>
      </c>
      <c r="D9" s="244">
        <v>19890.36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7150</v>
      </c>
      <c r="D10" s="243"/>
      <c r="E10" s="244">
        <v>7150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11399.79</v>
      </c>
      <c r="D11" s="244">
        <v>11399.79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159734.57</v>
      </c>
      <c r="D12" s="20">
        <f>'DOE25'!L205+'DOE25'!L223+'DOE25'!L241-F12-G12</f>
        <v>158969.57</v>
      </c>
      <c r="E12" s="243"/>
      <c r="F12" s="255">
        <f>'DOE25'!J205+'DOE25'!J223+'DOE25'!J241</f>
        <v>0</v>
      </c>
      <c r="G12" s="53">
        <f>'DOE25'!K205+'DOE25'!K223+'DOE25'!K241</f>
        <v>765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212864.72</v>
      </c>
      <c r="D14" s="20">
        <f>'DOE25'!L207+'DOE25'!L225+'DOE25'!L243-F14-G14</f>
        <v>188671.29</v>
      </c>
      <c r="E14" s="243"/>
      <c r="F14" s="255">
        <f>'DOE25'!J207+'DOE25'!J225+'DOE25'!J243</f>
        <v>24193.43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53433.799999999996</v>
      </c>
      <c r="D15" s="20">
        <f>'DOE25'!L208+'DOE25'!L226+'DOE25'!L244-F15-G15</f>
        <v>53433.799999999996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1042.71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1042.71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138577.5</v>
      </c>
      <c r="D25" s="243"/>
      <c r="E25" s="243"/>
      <c r="F25" s="258"/>
      <c r="G25" s="256"/>
      <c r="H25" s="257">
        <f>'DOE25'!L260+'DOE25'!L261+'DOE25'!L341+'DOE25'!L342</f>
        <v>138577.5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555</v>
      </c>
      <c r="D29" s="20">
        <f>'DOE25'!L358+'DOE25'!L359+'DOE25'!L360-'DOE25'!I367-F29-G29</f>
        <v>555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23537.5</v>
      </c>
      <c r="D31" s="20">
        <f>'DOE25'!L290+'DOE25'!L309+'DOE25'!L328+'DOE25'!L333+'DOE25'!L334+'DOE25'!L335-F31-G31</f>
        <v>18759.849999999999</v>
      </c>
      <c r="E31" s="243"/>
      <c r="F31" s="255">
        <f>'DOE25'!J290+'DOE25'!J309+'DOE25'!J328+'DOE25'!J333+'DOE25'!J334+'DOE25'!J335</f>
        <v>4414</v>
      </c>
      <c r="G31" s="53">
        <f>'DOE25'!K290+'DOE25'!K309+'DOE25'!K328+'DOE25'!K333+'DOE25'!K334+'DOE25'!K335</f>
        <v>363.65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1842215.2400000005</v>
      </c>
      <c r="E33" s="246">
        <f>SUM(E5:E31)</f>
        <v>27350.68</v>
      </c>
      <c r="F33" s="246">
        <f>SUM(F5:F31)</f>
        <v>55199.68</v>
      </c>
      <c r="G33" s="246">
        <f>SUM(G5:G31)</f>
        <v>6031.4199999999992</v>
      </c>
      <c r="H33" s="246">
        <f>SUM(H5:H31)</f>
        <v>138577.5</v>
      </c>
    </row>
    <row r="35" spans="2:8" ht="12" thickBot="1" x14ac:dyDescent="0.25">
      <c r="B35" s="253" t="s">
        <v>847</v>
      </c>
      <c r="D35" s="254">
        <f>E33</f>
        <v>27350.68</v>
      </c>
      <c r="E35" s="249"/>
    </row>
    <row r="36" spans="2:8" ht="12" thickTop="1" x14ac:dyDescent="0.2">
      <c r="B36" t="s">
        <v>815</v>
      </c>
      <c r="D36" s="20">
        <f>D33</f>
        <v>1842215.2400000005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184106.2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193408.03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2477.21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795.98</v>
      </c>
      <c r="D12" s="95">
        <f>'DOE25'!G13</f>
        <v>15.81</v>
      </c>
      <c r="E12" s="95">
        <f>'DOE25'!H13</f>
        <v>2765.51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1126.3800000000001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189005.77000000002</v>
      </c>
      <c r="D18" s="41">
        <f>SUM(D8:D17)</f>
        <v>15.81</v>
      </c>
      <c r="E18" s="41">
        <f>SUM(E8:E17)</f>
        <v>2765.51</v>
      </c>
      <c r="F18" s="41">
        <f>SUM(F8:F17)</f>
        <v>0</v>
      </c>
      <c r="G18" s="41">
        <f>SUM(G8:G17)</f>
        <v>193408.03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9.85</v>
      </c>
      <c r="E21" s="95">
        <f>'DOE25'!H22</f>
        <v>2467.36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3671.32</v>
      </c>
      <c r="D23" s="95">
        <f>'DOE25'!G24</f>
        <v>0</v>
      </c>
      <c r="E23" s="95">
        <f>'DOE25'!H24</f>
        <v>298.14999999999998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495.49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3741.8799999999997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7908.6900000000005</v>
      </c>
      <c r="D31" s="41">
        <f>SUM(D21:D30)</f>
        <v>9.85</v>
      </c>
      <c r="E31" s="41">
        <f>SUM(E21:E30)</f>
        <v>2765.51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5.96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4571.22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193408.03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220.41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150805.45000000001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181097.08000000002</v>
      </c>
      <c r="D50" s="41">
        <f>SUM(D34:D49)</f>
        <v>5.96</v>
      </c>
      <c r="E50" s="41">
        <f>SUM(E34:E49)</f>
        <v>0</v>
      </c>
      <c r="F50" s="41">
        <f>SUM(F34:F49)</f>
        <v>0</v>
      </c>
      <c r="G50" s="41">
        <f>SUM(G34:G49)</f>
        <v>193408.03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189005.77000000002</v>
      </c>
      <c r="D51" s="41">
        <f>D50+D31</f>
        <v>15.809999999999999</v>
      </c>
      <c r="E51" s="41">
        <f>E50+E31</f>
        <v>2765.51</v>
      </c>
      <c r="F51" s="41">
        <f>F50+F31</f>
        <v>0</v>
      </c>
      <c r="G51" s="41">
        <f>G50+G31</f>
        <v>193408.03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1587221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38.980000000000004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591.52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369.6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24516.04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24555.02</v>
      </c>
      <c r="D62" s="130">
        <f>SUM(D57:D61)</f>
        <v>369.6</v>
      </c>
      <c r="E62" s="130">
        <f>SUM(E57:E61)</f>
        <v>0</v>
      </c>
      <c r="F62" s="130">
        <f>SUM(F57:F61)</f>
        <v>0</v>
      </c>
      <c r="G62" s="130">
        <f>SUM(G57:G61)</f>
        <v>591.52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1611776.02</v>
      </c>
      <c r="D63" s="22">
        <f>D56+D62</f>
        <v>369.6</v>
      </c>
      <c r="E63" s="22">
        <f>E56+E62</f>
        <v>0</v>
      </c>
      <c r="F63" s="22">
        <f>F56+F62</f>
        <v>0</v>
      </c>
      <c r="G63" s="22">
        <f>G56+G62</f>
        <v>591.52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21077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315294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336371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47660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34119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81779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418150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14207.31</v>
      </c>
      <c r="D88" s="95">
        <f>SUM('DOE25'!G153:G161)</f>
        <v>279.35000000000002</v>
      </c>
      <c r="E88" s="95">
        <f>SUM('DOE25'!H153:H161)</f>
        <v>23537.5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14207.31</v>
      </c>
      <c r="D91" s="131">
        <f>SUM(D85:D90)</f>
        <v>279.35000000000002</v>
      </c>
      <c r="E91" s="131">
        <f>SUM(E85:E90)</f>
        <v>23537.5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8997.7999999999993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37631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46628.800000000003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27000</v>
      </c>
    </row>
    <row r="104" spans="1:7" ht="12.75" thickTop="1" thickBot="1" x14ac:dyDescent="0.25">
      <c r="A104" s="33" t="s">
        <v>765</v>
      </c>
      <c r="C104" s="86">
        <f>C63+C81+C91+C103</f>
        <v>2090762.1300000001</v>
      </c>
      <c r="D104" s="86">
        <f>D63+D81+D91+D103</f>
        <v>648.95000000000005</v>
      </c>
      <c r="E104" s="86">
        <f>E63+E81+E91+E103</f>
        <v>23537.5</v>
      </c>
      <c r="F104" s="86">
        <f>F63+F81+F91+F103</f>
        <v>0</v>
      </c>
      <c r="G104" s="86">
        <f>G63+G81+G103</f>
        <v>27591.52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949691.81</v>
      </c>
      <c r="D109" s="24" t="s">
        <v>289</v>
      </c>
      <c r="E109" s="95">
        <f>('DOE25'!L276)+('DOE25'!L295)+('DOE25'!L314)</f>
        <v>969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367826.51</v>
      </c>
      <c r="D110" s="24" t="s">
        <v>289</v>
      </c>
      <c r="E110" s="95">
        <f>('DOE25'!L277)+('DOE25'!L296)+('DOE25'!L315)</f>
        <v>22204.85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9510.7999999999993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1327029.1200000001</v>
      </c>
      <c r="D115" s="86">
        <f>SUM(D109:D114)</f>
        <v>0</v>
      </c>
      <c r="E115" s="86">
        <f>SUM(E109:E114)</f>
        <v>23173.85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22743.140000000003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68135.570000000007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54570.89</v>
      </c>
      <c r="D120" s="24" t="s">
        <v>289</v>
      </c>
      <c r="E120" s="95">
        <f>+('DOE25'!L283)+('DOE25'!L302)+('DOE25'!L321)</f>
        <v>363.65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159734.57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212864.72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53433.799999999996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1042.71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837.68000000000006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572525.4</v>
      </c>
      <c r="D128" s="86">
        <f>SUM(D118:D127)</f>
        <v>837.68000000000006</v>
      </c>
      <c r="E128" s="86">
        <f>SUM(E118:E127)</f>
        <v>363.65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3577.5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8997.7999999999993</v>
      </c>
      <c r="G134" s="95">
        <f>'DOE25'!K434</f>
        <v>37631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17.420000000000002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27574.100000000002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-591.52000000000044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165577.50000000003</v>
      </c>
      <c r="D144" s="141">
        <f>SUM(D130:D143)</f>
        <v>0</v>
      </c>
      <c r="E144" s="141">
        <f>SUM(E130:E143)</f>
        <v>0</v>
      </c>
      <c r="F144" s="141">
        <f>SUM(F130:F143)</f>
        <v>8997.7999999999993</v>
      </c>
      <c r="G144" s="141">
        <f>SUM(G130:G143)</f>
        <v>37631</v>
      </c>
    </row>
    <row r="145" spans="1:9" ht="12.75" thickTop="1" thickBot="1" x14ac:dyDescent="0.25">
      <c r="A145" s="33" t="s">
        <v>244</v>
      </c>
      <c r="C145" s="86">
        <f>(C115+C128+C144)</f>
        <v>2065132.02</v>
      </c>
      <c r="D145" s="86">
        <f>(D115+D128+D144)</f>
        <v>837.68000000000006</v>
      </c>
      <c r="E145" s="86">
        <f>(E115+E128+E144)</f>
        <v>23537.5</v>
      </c>
      <c r="F145" s="86">
        <f>(F115+F128+F144)</f>
        <v>8997.7999999999993</v>
      </c>
      <c r="G145" s="86">
        <f>(G115+G128+G144)</f>
        <v>37631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2000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1430000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138577.5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138577.5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SOUTH HAMPTON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22382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22382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950661</v>
      </c>
      <c r="D10" s="182">
        <f>ROUND((C10/$C$28)*100,1)</f>
        <v>49.3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390031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9511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22743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68136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55977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159735</v>
      </c>
      <c r="D18" s="182">
        <f t="shared" si="0"/>
        <v>8.3000000000000007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212865</v>
      </c>
      <c r="D20" s="182">
        <f t="shared" si="0"/>
        <v>11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53434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3578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468.4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1927139.4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1927139.4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135000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1587221</v>
      </c>
      <c r="D35" s="182">
        <f t="shared" ref="D35:D40" si="1">ROUND((C35/$C$41)*100,1)</f>
        <v>76.7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25146.540000000037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336371</v>
      </c>
      <c r="D37" s="182">
        <f t="shared" si="1"/>
        <v>16.3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81779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38024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2068541.54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SOUTH HAMPTON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2016-08-24T12:03:24Z</cp:lastPrinted>
  <dcterms:created xsi:type="dcterms:W3CDTF">1997-12-04T19:04:30Z</dcterms:created>
  <dcterms:modified xsi:type="dcterms:W3CDTF">2016-08-25T18:51:41Z</dcterms:modified>
</cp:coreProperties>
</file>