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8" i="1" l="1"/>
  <c r="K263" i="1"/>
  <c r="G179" i="1"/>
  <c r="G158" i="1"/>
  <c r="F12" i="1"/>
  <c r="F9" i="1" l="1"/>
  <c r="G611" i="1"/>
  <c r="G200" i="1"/>
  <c r="F200" i="1"/>
  <c r="C37" i="12"/>
  <c r="B37" i="12"/>
  <c r="C19" i="12"/>
  <c r="B19" i="12"/>
  <c r="B10" i="12"/>
  <c r="I197" i="1"/>
  <c r="H22" i="1"/>
  <c r="H575" i="1" l="1"/>
  <c r="H203" i="1" l="1"/>
  <c r="H208" i="1"/>
  <c r="J207" i="1"/>
  <c r="I207" i="1"/>
  <c r="H207" i="1"/>
  <c r="G207" i="1"/>
  <c r="F207" i="1"/>
  <c r="K205" i="1"/>
  <c r="H205" i="1"/>
  <c r="J205" i="1"/>
  <c r="I205" i="1"/>
  <c r="G205" i="1"/>
  <c r="F205" i="1"/>
  <c r="H204" i="1"/>
  <c r="G204" i="1"/>
  <c r="G203" i="1"/>
  <c r="F203" i="1"/>
  <c r="I203" i="1"/>
  <c r="I202" i="1"/>
  <c r="H202" i="1"/>
  <c r="I200" i="1"/>
  <c r="H198" i="1"/>
  <c r="H234" i="1"/>
  <c r="G198" i="1"/>
  <c r="F198" i="1"/>
  <c r="J197" i="1"/>
  <c r="H233" i="1"/>
  <c r="H197" i="1"/>
  <c r="G197" i="1"/>
  <c r="F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E16" i="13" s="1"/>
  <c r="C16" i="13" s="1"/>
  <c r="L209" i="1"/>
  <c r="L227" i="1"/>
  <c r="L245" i="1"/>
  <c r="C125" i="2" s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D17" i="13" s="1"/>
  <c r="C17" i="13" s="1"/>
  <c r="L251" i="1"/>
  <c r="F18" i="13"/>
  <c r="G18" i="13"/>
  <c r="L252" i="1"/>
  <c r="C114" i="2" s="1"/>
  <c r="F19" i="13"/>
  <c r="G19" i="13"/>
  <c r="L253" i="1"/>
  <c r="D19" i="13" s="1"/>
  <c r="C19" i="13" s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E124" i="2" s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29" i="10" s="1"/>
  <c r="L336" i="1"/>
  <c r="E130" i="2" s="1"/>
  <c r="C11" i="13"/>
  <c r="C10" i="13"/>
  <c r="C9" i="13"/>
  <c r="L361" i="1"/>
  <c r="L362" i="1" s="1"/>
  <c r="B4" i="12"/>
  <c r="B36" i="12"/>
  <c r="C36" i="12"/>
  <c r="A40" i="12" s="1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F169" i="1" s="1"/>
  <c r="G147" i="1"/>
  <c r="G162" i="1"/>
  <c r="H147" i="1"/>
  <c r="E85" i="2" s="1"/>
  <c r="H162" i="1"/>
  <c r="H169" i="1" s="1"/>
  <c r="I147" i="1"/>
  <c r="I162" i="1"/>
  <c r="C13" i="10"/>
  <c r="L250" i="1"/>
  <c r="L332" i="1"/>
  <c r="L254" i="1"/>
  <c r="L268" i="1"/>
  <c r="C142" i="2" s="1"/>
  <c r="L269" i="1"/>
  <c r="L349" i="1"/>
  <c r="E142" i="2" s="1"/>
  <c r="L350" i="1"/>
  <c r="I665" i="1"/>
  <c r="I670" i="1"/>
  <c r="G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E113" i="2"/>
  <c r="D115" i="2"/>
  <c r="F115" i="2"/>
  <c r="G115" i="2"/>
  <c r="E119" i="2"/>
  <c r="E122" i="2"/>
  <c r="E123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F338" i="1" s="1"/>
  <c r="F352" i="1" s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H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G461" i="1" s="1"/>
  <c r="H640" i="1" s="1"/>
  <c r="H460" i="1"/>
  <c r="F461" i="1"/>
  <c r="H639" i="1" s="1"/>
  <c r="H461" i="1"/>
  <c r="H641" i="1" s="1"/>
  <c r="F470" i="1"/>
  <c r="G470" i="1"/>
  <c r="H470" i="1"/>
  <c r="I470" i="1"/>
  <c r="J470" i="1"/>
  <c r="F474" i="1"/>
  <c r="G474" i="1"/>
  <c r="H474" i="1"/>
  <c r="I474" i="1"/>
  <c r="I476" i="1" s="1"/>
  <c r="H625" i="1" s="1"/>
  <c r="J625" i="1" s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J641" i="1" s="1"/>
  <c r="G643" i="1"/>
  <c r="J643" i="1" s="1"/>
  <c r="G644" i="1"/>
  <c r="G645" i="1"/>
  <c r="G650" i="1"/>
  <c r="G651" i="1"/>
  <c r="J651" i="1" s="1"/>
  <c r="G652" i="1"/>
  <c r="H652" i="1"/>
  <c r="G653" i="1"/>
  <c r="H653" i="1"/>
  <c r="G654" i="1"/>
  <c r="H654" i="1"/>
  <c r="H655" i="1"/>
  <c r="F78" i="2"/>
  <c r="F81" i="2" s="1"/>
  <c r="G62" i="2"/>
  <c r="E78" i="2"/>
  <c r="J639" i="1"/>
  <c r="K571" i="1"/>
  <c r="I169" i="1"/>
  <c r="H476" i="1"/>
  <c r="H624" i="1" s="1"/>
  <c r="J624" i="1" s="1"/>
  <c r="I552" i="1"/>
  <c r="G22" i="2"/>
  <c r="K545" i="1"/>
  <c r="H140" i="1"/>
  <c r="H25" i="13"/>
  <c r="C25" i="13" s="1"/>
  <c r="L570" i="1"/>
  <c r="G36" i="2"/>
  <c r="L565" i="1"/>
  <c r="H33" i="13"/>
  <c r="G192" i="1" l="1"/>
  <c r="A31" i="12"/>
  <c r="H545" i="1"/>
  <c r="F552" i="1"/>
  <c r="A13" i="12"/>
  <c r="L328" i="1"/>
  <c r="E120" i="2"/>
  <c r="H338" i="1"/>
  <c r="H352" i="1" s="1"/>
  <c r="H52" i="1"/>
  <c r="H619" i="1" s="1"/>
  <c r="J619" i="1" s="1"/>
  <c r="K598" i="1"/>
  <c r="G647" i="1" s="1"/>
  <c r="L560" i="1"/>
  <c r="H571" i="1"/>
  <c r="G338" i="1"/>
  <c r="G352" i="1" s="1"/>
  <c r="J617" i="1"/>
  <c r="F476" i="1"/>
  <c r="H622" i="1" s="1"/>
  <c r="J622" i="1" s="1"/>
  <c r="D29" i="13"/>
  <c r="C29" i="13" s="1"/>
  <c r="C119" i="2"/>
  <c r="J655" i="1"/>
  <c r="C123" i="2"/>
  <c r="D12" i="13"/>
  <c r="C12" i="13" s="1"/>
  <c r="E57" i="2"/>
  <c r="E62" i="2" s="1"/>
  <c r="E63" i="2" s="1"/>
  <c r="H112" i="1"/>
  <c r="H193" i="1" s="1"/>
  <c r="G629" i="1" s="1"/>
  <c r="J629" i="1" s="1"/>
  <c r="H663" i="1"/>
  <c r="L614" i="1"/>
  <c r="E109" i="2"/>
  <c r="E115" i="2" s="1"/>
  <c r="L290" i="1"/>
  <c r="L338" i="1" s="1"/>
  <c r="L352" i="1" s="1"/>
  <c r="G633" i="1" s="1"/>
  <c r="J633" i="1" s="1"/>
  <c r="F22" i="13"/>
  <c r="C22" i="13" s="1"/>
  <c r="J571" i="1"/>
  <c r="L382" i="1"/>
  <c r="G636" i="1" s="1"/>
  <c r="J636" i="1" s="1"/>
  <c r="J634" i="1"/>
  <c r="H192" i="1"/>
  <c r="G157" i="2"/>
  <c r="C18" i="2"/>
  <c r="L393" i="1"/>
  <c r="C138" i="2" s="1"/>
  <c r="E121" i="2"/>
  <c r="G661" i="1"/>
  <c r="K551" i="1"/>
  <c r="I545" i="1"/>
  <c r="K503" i="1"/>
  <c r="G476" i="1"/>
  <c r="H623" i="1" s="1"/>
  <c r="J623" i="1" s="1"/>
  <c r="J640" i="1"/>
  <c r="L419" i="1"/>
  <c r="J338" i="1"/>
  <c r="J352" i="1" s="1"/>
  <c r="C130" i="2"/>
  <c r="C111" i="2"/>
  <c r="D31" i="2"/>
  <c r="D51" i="2" s="1"/>
  <c r="E31" i="2"/>
  <c r="F18" i="2"/>
  <c r="J552" i="1"/>
  <c r="K550" i="1"/>
  <c r="F661" i="1"/>
  <c r="L401" i="1"/>
  <c r="C139" i="2" s="1"/>
  <c r="G549" i="1"/>
  <c r="L529" i="1"/>
  <c r="E118" i="2"/>
  <c r="E128" i="2" s="1"/>
  <c r="D15" i="13"/>
  <c r="C15" i="13" s="1"/>
  <c r="G649" i="1"/>
  <c r="J649" i="1" s="1"/>
  <c r="C15" i="10"/>
  <c r="J45" i="1"/>
  <c r="G44" i="2" s="1"/>
  <c r="I460" i="1"/>
  <c r="F571" i="1"/>
  <c r="K352" i="1"/>
  <c r="G164" i="2"/>
  <c r="B161" i="2"/>
  <c r="G161" i="2" s="1"/>
  <c r="K500" i="1"/>
  <c r="G156" i="2"/>
  <c r="D127" i="2"/>
  <c r="D128" i="2" s="1"/>
  <c r="D145" i="2" s="1"/>
  <c r="D18" i="2"/>
  <c r="J9" i="1"/>
  <c r="G8" i="2" s="1"/>
  <c r="G18" i="2" s="1"/>
  <c r="I446" i="1"/>
  <c r="G642" i="1" s="1"/>
  <c r="L270" i="1"/>
  <c r="H549" i="1"/>
  <c r="H552" i="1" s="1"/>
  <c r="L534" i="1"/>
  <c r="E112" i="2"/>
  <c r="C20" i="10"/>
  <c r="K605" i="1"/>
  <c r="G648" i="1" s="1"/>
  <c r="J545" i="1"/>
  <c r="E81" i="2"/>
  <c r="L351" i="1"/>
  <c r="J645" i="1"/>
  <c r="L524" i="1"/>
  <c r="L427" i="1"/>
  <c r="D81" i="2"/>
  <c r="C26" i="10"/>
  <c r="J644" i="1"/>
  <c r="G81" i="2"/>
  <c r="D18" i="13"/>
  <c r="C18" i="13" s="1"/>
  <c r="C21" i="10"/>
  <c r="C16" i="10"/>
  <c r="C122" i="2"/>
  <c r="D50" i="2"/>
  <c r="I452" i="1"/>
  <c r="I461" i="1" s="1"/>
  <c r="H642" i="1" s="1"/>
  <c r="F192" i="1"/>
  <c r="E103" i="2"/>
  <c r="D14" i="13"/>
  <c r="C14" i="13" s="1"/>
  <c r="H647" i="1"/>
  <c r="J647" i="1" s="1"/>
  <c r="J257" i="1"/>
  <c r="J271" i="1" s="1"/>
  <c r="C121" i="2"/>
  <c r="C62" i="2"/>
  <c r="C19" i="10"/>
  <c r="L229" i="1"/>
  <c r="G660" i="1" s="1"/>
  <c r="K257" i="1"/>
  <c r="K271" i="1" s="1"/>
  <c r="I257" i="1"/>
  <c r="I271" i="1" s="1"/>
  <c r="C18" i="10"/>
  <c r="L247" i="1"/>
  <c r="H660" i="1" s="1"/>
  <c r="D7" i="13"/>
  <c r="C7" i="13" s="1"/>
  <c r="F257" i="1"/>
  <c r="F271" i="1" s="1"/>
  <c r="C124" i="2"/>
  <c r="D91" i="2"/>
  <c r="H662" i="1"/>
  <c r="I662" i="1" s="1"/>
  <c r="G257" i="1"/>
  <c r="G271" i="1" s="1"/>
  <c r="E8" i="13"/>
  <c r="C8" i="13" s="1"/>
  <c r="C120" i="2"/>
  <c r="C17" i="10"/>
  <c r="D6" i="13"/>
  <c r="C6" i="13" s="1"/>
  <c r="C118" i="2"/>
  <c r="C11" i="10"/>
  <c r="H257" i="1"/>
  <c r="H271" i="1" s="1"/>
  <c r="C110" i="2"/>
  <c r="L211" i="1"/>
  <c r="C109" i="2"/>
  <c r="D5" i="13"/>
  <c r="C5" i="13" s="1"/>
  <c r="C10" i="10"/>
  <c r="C91" i="2"/>
  <c r="C81" i="2"/>
  <c r="F112" i="1"/>
  <c r="C35" i="10"/>
  <c r="C56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F545" i="1"/>
  <c r="H434" i="1"/>
  <c r="J620" i="1"/>
  <c r="D103" i="2"/>
  <c r="I140" i="1"/>
  <c r="A22" i="12"/>
  <c r="J652" i="1"/>
  <c r="G571" i="1"/>
  <c r="I434" i="1"/>
  <c r="G434" i="1"/>
  <c r="I663" i="1"/>
  <c r="C27" i="10"/>
  <c r="G635" i="1"/>
  <c r="J635" i="1" s="1"/>
  <c r="D104" i="2" l="1"/>
  <c r="C63" i="2"/>
  <c r="L545" i="1"/>
  <c r="C128" i="2"/>
  <c r="F660" i="1"/>
  <c r="I660" i="1" s="1"/>
  <c r="I664" i="1" s="1"/>
  <c r="I672" i="1" s="1"/>
  <c r="C7" i="10" s="1"/>
  <c r="E51" i="2"/>
  <c r="J19" i="1"/>
  <c r="G621" i="1" s="1"/>
  <c r="J642" i="1"/>
  <c r="I661" i="1"/>
  <c r="H648" i="1"/>
  <c r="J648" i="1" s="1"/>
  <c r="D31" i="13"/>
  <c r="C31" i="13" s="1"/>
  <c r="E145" i="2"/>
  <c r="I193" i="1"/>
  <c r="G630" i="1" s="1"/>
  <c r="J630" i="1" s="1"/>
  <c r="G50" i="2"/>
  <c r="G51" i="2" s="1"/>
  <c r="L408" i="1"/>
  <c r="C141" i="2"/>
  <c r="C144" i="2" s="1"/>
  <c r="H664" i="1"/>
  <c r="H672" i="1" s="1"/>
  <c r="C6" i="10" s="1"/>
  <c r="G664" i="1"/>
  <c r="G672" i="1" s="1"/>
  <c r="C5" i="10" s="1"/>
  <c r="K549" i="1"/>
  <c r="K552" i="1" s="1"/>
  <c r="G552" i="1"/>
  <c r="C115" i="2"/>
  <c r="C104" i="2"/>
  <c r="E33" i="13"/>
  <c r="D35" i="13" s="1"/>
  <c r="L257" i="1"/>
  <c r="L271" i="1" s="1"/>
  <c r="G632" i="1" s="1"/>
  <c r="J632" i="1" s="1"/>
  <c r="C28" i="10"/>
  <c r="D22" i="10" s="1"/>
  <c r="G104" i="2"/>
  <c r="C36" i="10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F664" i="1"/>
  <c r="F672" i="1" s="1"/>
  <c r="C4" i="10" s="1"/>
  <c r="D33" i="13"/>
  <c r="D36" i="13" s="1"/>
  <c r="H667" i="1"/>
  <c r="D12" i="10"/>
  <c r="G667" i="1"/>
  <c r="G637" i="1"/>
  <c r="J637" i="1" s="1"/>
  <c r="H646" i="1"/>
  <c r="J646" i="1" s="1"/>
  <c r="D24" i="10"/>
  <c r="D10" i="10"/>
  <c r="D26" i="10"/>
  <c r="D15" i="10"/>
  <c r="D27" i="10"/>
  <c r="D25" i="10"/>
  <c r="D18" i="10"/>
  <c r="C30" i="10"/>
  <c r="D19" i="10"/>
  <c r="D20" i="10"/>
  <c r="D17" i="10"/>
  <c r="D16" i="10"/>
  <c r="D23" i="10"/>
  <c r="D13" i="10"/>
  <c r="D11" i="10"/>
  <c r="D21" i="10"/>
  <c r="I667" i="1"/>
  <c r="C41" i="10"/>
  <c r="D38" i="10" s="1"/>
  <c r="F667" i="1" l="1"/>
  <c r="H65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<sst xmlns="http://schemas.openxmlformats.org/spreadsheetml/2006/main" count="3955" uniqueCount="913">
  <si>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</si>
  <si>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</si>
  <si>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</si>
  <si>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</si>
  <si>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</si>
  <si>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</si>
  <si>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</si>
  <si>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</si>
  <si>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</si>
  <si>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</si>
  <si>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</si>
  <si>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</si>
  <si>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</si>
  <si>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</si>
  <si>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</si>
  <si>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</si>
  <si>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</si>
  <si>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</si>
  <si>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</si>
  <si>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</si>
  <si>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</si>
  <si>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</si>
  <si>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</si>
  <si>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</si>
  <si>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</si>
  <si>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</si>
  <si>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</si>
  <si>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</si>
  <si>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</si>
  <si>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</si>
  <si>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</si>
  <si>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</si>
  <si>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</si>
  <si>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</si>
  <si>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</si>
  <si>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</si>
  <si>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</si>
  <si>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</si>
  <si>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</si>
  <si>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</si>
  <si>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</si>
  <si>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</si>
  <si>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</si>
  <si>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</si>
  <si>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</si>
  <si>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</si>
  <si>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</si>
  <si>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</si>
  <si>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</si>
  <si>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</si>
  <si>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</si>
  <si>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</si>
  <si>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</si>
  <si>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</si>
  <si>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</si>
  <si>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</si>
  <si>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</si>
  <si>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</si>
  <si>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</si>
  <si>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</si>
  <si>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</si>
  <si>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</si>
  <si>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</si>
  <si>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</si>
  <si>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</si>
  <si>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</si>
  <si>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</si>
  <si>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</si>
  <si>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</si>
  <si>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</si>
  <si>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</si>
  <si>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</si>
  <si>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</si>
  <si>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</si>
  <si>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</si>
  <si>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</si>
  <si>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</si>
  <si>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</si>
  <si>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</si>
  <si>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</si>
  <si>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</si>
  <si>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</si>
  <si>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</si>
  <si>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</si>
  <si>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</si>
  <si>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</si>
  <si>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</si>
  <si>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</si>
  <si>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</si>
  <si>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</si>
  <si>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</si>
  <si>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</si>
  <si>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</si>
  <si>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</si>
  <si>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</si>
  <si>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</si>
  <si>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</si>
  <si>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</si>
  <si>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</si>
  <si>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</si>
  <si>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</si>
  <si>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</si>
  <si>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</si>
  <si>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</si>
  <si>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</si>
  <si>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</si>
  <si>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</si>
  <si>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</si>
  <si>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</si>
  <si>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</si>
  <si>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</si>
  <si>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</si>
  <si>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</si>
  <si>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</si>
  <si>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</si>
  <si>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</si>
  <si>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</si>
  <si>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</si>
  <si>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</si>
  <si>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</si>
  <si>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</si>
  <si>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</si>
  <si>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</si>
  <si>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</si>
  <si>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</si>
  <si>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</si>
  <si>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</si>
  <si>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</si>
  <si>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</si>
  <si>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</si>
  <si>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</si>
  <si>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</si>
  <si>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</si>
  <si>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</si>
  <si>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</si>
  <si>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</si>
  <si>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</si>
  <si>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</si>
  <si>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</si>
  <si>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</si>
  <si>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</si>
  <si>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</si>
  <si>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</si>
  <si>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</si>
  <si>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</si>
  <si>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</si>
  <si>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</si>
  <si>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</si>
  <si>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</si>
  <si>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</si>
  <si>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</si>
  <si>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</si>
  <si>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</si>
  <si>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</si>
  <si>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</si>
  <si>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</si>
  <si>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</si>
  <si>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</si>
  <si>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</si>
  <si>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</si>
  <si>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</si>
  <si>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</si>
  <si>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</si>
  <si>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</si>
  <si>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</si>
  <si>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</si>
  <si>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</si>
  <si>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</si>
  <si>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</si>
  <si>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</si>
  <si>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</si>
  <si>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</si>
  <si>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</si>
  <si>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</si>
  <si>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</si>
  <si>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</si>
  <si>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</si>
  <si>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</si>
  <si>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</si>
  <si>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</si>
  <si>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</si>
  <si>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</si>
  <si>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</si>
  <si>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</si>
  <si>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</si>
  <si>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</si>
  <si>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</si>
  <si>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</si>
  <si>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</si>
  <si>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</si>
  <si>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</si>
  <si>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</si>
  <si>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</si>
  <si>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</si>
  <si>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</si>
  <si>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</si>
  <si>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</si>
  <si>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</si>
  <si>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</si>
  <si>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</si>
  <si>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</si>
  <si>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</si>
  <si>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</si>
  <si>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</si>
  <si>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</si>
  <si>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</si>
  <si>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</si>
  <si>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</si>
  <si>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</si>
  <si>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</si>
  <si>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</si>
  <si>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</si>
  <si>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</si>
  <si>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</si>
  <si>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</si>
  <si>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</si>
  <si>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</si>
  <si>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</si>
  <si>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</si>
  <si>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</si>
  <si>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</si>
  <si>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</si>
  <si>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</si>
  <si>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</si>
  <si>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</si>
  <si>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</si>
  <si>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</si>
  <si>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</si>
  <si>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</si>
  <si>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</si>
  <si>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</si>
  <si>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</si>
  <si>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</si>
  <si>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</si>
  <si>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</si>
  <si>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</si>
  <si>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</si>
  <si>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</si>
  <si>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</si>
  <si>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</si>
  <si>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</si>
  <si>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</si>
  <si>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</si>
  <si>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</si>
  <si>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</si>
  <si>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</si>
  <si>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</si>
  <si>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</si>
  <si>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</si>
  <si>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</si>
  <si>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</si>
  <si>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</si>
  <si>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</si>
  <si>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</si>
  <si>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</si>
  <si>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</si>
  <si>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</si>
  <si>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</si>
  <si>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</si>
  <si>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</si>
  <si>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</si>
  <si>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</si>
  <si>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</si>
  <si>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</si>
  <si>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</si>
  <si>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</si>
  <si>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</si>
  <si>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</si>
  <si>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</si>
  <si>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</si>
  <si>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</si>
  <si>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</si>
  <si>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</si>
  <si>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</si>
  <si>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</si>
  <si>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</si>
  <si>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</si>
  <si>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</si>
  <si>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</si>
  <si>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</si>
  <si>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</si>
  <si>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</si>
  <si>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</si>
  <si>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</si>
  <si>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</si>
  <si>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</si>
  <si>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</si>
  <si>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</si>
  <si>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</si>
  <si>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</si>
  <si>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</si>
  <si>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</si>
  <si>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</si>
  <si>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</si>
  <si>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</si>
  <si>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</si>
  <si>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</si>
  <si>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</si>
  <si>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</si>
  <si>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</si>
  <si>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</si>
  <si>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</si>
  <si>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</si>
  <si>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</si>
  <si>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</si>
  <si>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</si>
  <si>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</si>
  <si>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</si>
  <si>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</si>
  <si>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</si>
  <si>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</si>
  <si>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</si>
  <si>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</si>
  <si>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</si>
  <si>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</si>
  <si>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</si>
  <si>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</si>
  <si>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</si>
  <si>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</si>
  <si>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</si>
  <si>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</si>
  <si>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</si>
  <si>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</si>
  <si>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</si>
  <si>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</si>
  <si>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</si>
  <si>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</si>
  <si>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</si>
  <si>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</si>
  <si>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</si>
  <si>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</si>
  <si>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</si>
  <si>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</si>
  <si>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</si>
  <si>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</si>
  <si>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</si>
  <si>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</si>
  <si>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</si>
  <si>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</si>
  <si>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</si>
  <si>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</si>
  <si>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</si>
  <si>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</si>
  <si>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</si>
  <si>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</si>
  <si>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</si>
  <si>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</si>
  <si>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</si>
  <si>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</si>
  <si>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</si>
  <si>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</si>
  <si>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</si>
  <si>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</si>
  <si>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</si>
  <si>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</si>
  <si>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</si>
  <si>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</si>
  <si>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</si>
  <si>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</si>
  <si>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</si>
  <si>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</si>
  <si>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</si>
  <si>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</si>
  <si>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</si>
  <si>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</si>
  <si>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</si>
  <si>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</si>
  <si>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</si>
  <si>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</si>
  <si>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</si>
  <si>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</si>
  <si>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</si>
  <si>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</si>
  <si>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</si>
  <si>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</si>
  <si>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</si>
  <si>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</si>
  <si>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</si>
  <si>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</si>
  <si>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</si>
  <si>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</si>
  <si>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</si>
  <si>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</si>
  <si>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</si>
  <si>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</si>
  <si>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</si>
  <si>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</si>
  <si>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</si>
  <si>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</si>
  <si>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</si>
  <si>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</si>
  <si>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</si>
  <si>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</si>
  <si>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</si>
  <si>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</si>
  <si>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</si>
  <si>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</si>
  <si>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</si>
  <si>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</si>
  <si>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</si>
  <si>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</si>
  <si>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</si>
  <si>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</si>
  <si>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</si>
  <si>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</si>
  <si>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</si>
  <si>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</si>
  <si>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</si>
  <si>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</si>
  <si>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</si>
  <si>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</si>
  <si>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</si>
  <si>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</si>
  <si>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</si>
  <si>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</si>
  <si>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</si>
  <si>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</si>
  <si>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</si>
  <si>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</si>
  <si>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</si>
  <si>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</si>
  <si>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</si>
  <si>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</si>
  <si>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</si>
  <si>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</si>
  <si>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</si>
  <si>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</si>
  <si>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</si>
  <si>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</si>
  <si>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</si>
  <si>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</si>
  <si>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</si>
  <si>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</si>
  <si>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</si>
  <si>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</si>
  <si>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</si>
  <si>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</si>
  <si>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</si>
  <si>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</si>
  <si>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</si>
  <si>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</si>
  <si>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</si>
  <si>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</si>
  <si>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</si>
  <si>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</si>
  <si>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</si>
  <si>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</si>
  <si>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</si>
  <si>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</si>
  <si>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</si>
  <si>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</si>
  <si>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</si>
  <si>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</si>
  <si>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</si>
  <si>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</si>
  <si>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</si>
  <si>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</si>
  <si>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</si>
  <si>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</si>
  <si>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</si>
  <si>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</si>
  <si>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</si>
  <si>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</si>
  <si>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</si>
  <si>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</si>
  <si>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</si>
  <si>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</si>
  <si>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</si>
  <si>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</si>
  <si>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</si>
  <si>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</si>
  <si>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</si>
  <si>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</si>
  <si>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</si>
  <si>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</si>
  <si>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</si>
  <si>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</si>
  <si>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</si>
  <si>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</si>
  <si>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</si>
  <si>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</si>
  <si>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</si>
  <si>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</si>
  <si>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</si>
  <si>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</si>
  <si>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</si>
  <si>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</si>
  <si>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</si>
  <si>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</si>
  <si>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</si>
  <si>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</si>
  <si>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</si>
  <si>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</si>
  <si>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</si>
  <si>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</si>
  <si>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</si>
  <si>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</si>
  <si>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</si>
  <si>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</si>
  <si>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</si>
  <si>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</si>
  <si>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</si>
  <si>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</si>
  <si>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</si>
  <si>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</si>
  <si>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</si>
  <si>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</si>
  <si>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</si>
  <si>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</si>
  <si>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</si>
  <si>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</si>
  <si>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</si>
  <si>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</si>
  <si>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</si>
  <si>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</si>
  <si>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</si>
  <si>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</si>
  <si>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</si>
  <si>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</si>
  <si>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</si>
  <si>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</si>
  <si>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</si>
  <si>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</si>
  <si>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</si>
  <si>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</si>
  <si>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</si>
  <si>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</si>
  <si>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</si>
  <si>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</si>
  <si>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</si>
  <si>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</si>
  <si>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</si>
  <si>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</si>
  <si>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</si>
  <si>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</si>
  <si>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</si>
  <si>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</si>
  <si>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</si>
  <si>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</si>
  <si>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</si>
  <si>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</si>
  <si>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</si>
  <si>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</si>
  <si>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</si>
  <si>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</si>
  <si>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</si>
  <si>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</si>
  <si>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</si>
  <si>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</si>
  <si>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</si>
  <si>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</si>
  <si>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</si>
  <si>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</si>
  <si>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</si>
  <si>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</si>
  <si>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</si>
  <si>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</si>
  <si>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</si>
  <si>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</si>
  <si>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</si>
  <si>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</si>
  <si>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</si>
  <si>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</si>
  <si>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</si>
  <si>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</si>
  <si>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</si>
  <si>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</si>
  <si>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</si>
  <si>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</si>
  <si>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</si>
  <si>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</si>
  <si>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</si>
  <si>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</si>
  <si>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</si>
  <si>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</si>
  <si>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</si>
  <si>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</si>
  <si>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</si>
  <si>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</si>
  <si>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</si>
  <si>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</si>
  <si>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</si>
  <si>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</si>
  <si>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</si>
  <si>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</si>
  <si>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</si>
  <si>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</si>
  <si>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</si>
  <si>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</si>
  <si>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</si>
  <si>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</si>
  <si>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</si>
  <si>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</si>
  <si>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</si>
  <si>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</si>
  <si>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</si>
  <si>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</si>
  <si>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</si>
  <si>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</si>
  <si>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</si>
  <si>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</si>
  <si>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</si>
  <si>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</si>
  <si>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</si>
  <si>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</si>
  <si>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</si>
  <si>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</si>
  <si>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</si>
  <si>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</si>
  <si>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</si>
  <si>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</si>
  <si>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</si>
  <si>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</si>
  <si>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</si>
  <si>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</si>
  <si>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</si>
  <si>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</si>
  <si>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</si>
  <si>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</si>
  <si>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</si>
  <si>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</si>
  <si>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</si>
  <si>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</si>
  <si>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</si>
  <si>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</si>
  <si>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</si>
  <si>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</si>
  <si>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</si>
  <si>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</si>
  <si>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</si>
  <si>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</si>
  <si>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</si>
  <si>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</si>
  <si>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</si>
  <si>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</si>
  <si>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</si>
  <si>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</si>
  <si>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</si>
  <si>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</si>
  <si>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</si>
  <si>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</si>
  <si>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</si>
  <si>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</si>
  <si>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</si>
  <si>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</si>
  <si>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</si>
  <si>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</si>
  <si>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</si>
  <si>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</si>
  <si>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</si>
  <si>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</si>
  <si>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</si>
  <si>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</si>
  <si>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</si>
  <si>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</si>
  <si>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</si>
  <si>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</si>
  <si>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</si>
  <si>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</si>
  <si>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</si>
  <si>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</si>
  <si>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</si>
  <si>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</si>
  <si>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</si>
  <si>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</si>
  <si>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</si>
  <si>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</si>
  <si>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</si>
  <si>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</si>
  <si>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</si>
  <si>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</si>
  <si>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</si>
  <si>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</si>
  <si>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</si>
  <si>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</si>
  <si>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</si>
  <si>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</si>
  <si>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</si>
  <si>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</si>
  <si>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</si>
  <si>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</si>
  <si>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</si>
  <si>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</si>
  <si>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</si>
  <si>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</si>
  <si>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</si>
  <si>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</si>
  <si>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</si>
  <si>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</si>
  <si>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</si>
  <si>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</si>
  <si>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</si>
  <si>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</si>
  <si>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</si>
  <si>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</si>
  <si>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</si>
  <si>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</si>
  <si>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</si>
  <si>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</si>
  <si>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</si>
  <si>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</si>
  <si>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</si>
  <si>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</si>
  <si>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</si>
  <si>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</si>
  <si>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</si>
  <si>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</si>
  <si>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</si>
  <si>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</si>
  <si>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</si>
  <si>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</si>
  <si>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</si>
  <si>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</si>
  <si>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</si>
  <si>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</si>
  <si>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</si>
  <si>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</si>
  <si>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</si>
  <si>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</si>
  <si>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</si>
  <si>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</si>
  <si>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</si>
  <si>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</si>
  <si>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</si>
  <si>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</si>
  <si>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</si>
  <si>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</si>
  <si>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</si>
  <si>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</si>
  <si>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</si>
  <si>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</si>
  <si>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</si>
  <si>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</si>
  <si>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</si>
  <si>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</si>
  <si>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</si>
  <si>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</si>
  <si>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</si>
  <si>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</si>
  <si>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</si>
  <si>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</si>
  <si>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</si>
  <si>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</si>
  <si>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</si>
  <si>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</si>
  <si>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</si>
  <si>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</si>
  <si>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</si>
  <si>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</si>
  <si>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</si>
  <si>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</si>
  <si>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</si>
  <si>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</si>
  <si>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</si>
  <si>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</si>
  <si>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</si>
  <si>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</si>
  <si>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</si>
  <si>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</si>
  <si>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</si>
  <si>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</si>
  <si>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</si>
  <si>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</si>
  <si>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</si>
  <si>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</si>
  <si>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</si>
  <si>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</si>
  <si>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</si>
  <si>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</si>
  <si>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</si>
  <si>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</si>
  <si>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</si>
  <si>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</si>
  <si>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</si>
  <si>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</si>
  <si>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</si>
  <si>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</si>
  <si>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</si>
  <si>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</si>
  <si>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</si>
  <si>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</si>
  <si>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</si>
  <si>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</si>
  <si>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</si>
  <si>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</si>
  <si>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</si>
  <si>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</si>
  <si>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</si>
  <si>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</si>
  <si>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</si>
  <si>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</si>
  <si>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</si>
  <si>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</si>
  <si>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</si>
  <si>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</si>
  <si>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</si>
  <si>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</si>
  <si>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</si>
  <si>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</si>
  <si>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</si>
  <si>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</si>
  <si>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</si>
  <si>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</si>
  <si>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</si>
  <si>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</si>
  <si>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</si>
  <si>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</si>
  <si>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</si>
  <si>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</si>
  <si>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</si>
  <si>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</si>
  <si>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</si>
  <si>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</si>
  <si>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</si>
  <si>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</si>
  <si>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</si>
  <si>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</si>
  <si>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</si>
  <si>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</si>
  <si>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</si>
  <si>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</si>
  <si>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</si>
  <si>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</si>
  <si>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</si>
  <si>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</si>
  <si>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</si>
  <si>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</si>
  <si>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</si>
  <si>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</si>
  <si>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</si>
  <si>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</si>
  <si>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</si>
  <si>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</si>
  <si>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</si>
  <si>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</si>
  <si>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</si>
  <si>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</si>
  <si>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</si>
  <si>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</si>
  <si>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</si>
  <si>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</si>
  <si>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</si>
  <si>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</si>
  <si>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</si>
  <si>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</si>
  <si>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</si>
  <si>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</si>
  <si>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</si>
  <si>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</si>
  <si>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</si>
  <si>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</si>
  <si>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</si>
  <si>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</si>
  <si>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</si>
  <si>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</si>
  <si>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</si>
  <si>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</si>
  <si>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</si>
  <si>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</si>
  <si>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</si>
  <si>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</si>
  <si>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</si>
  <si>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</si>
  <si>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</si>
  <si>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</si>
  <si>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</si>
  <si>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</si>
  <si>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</si>
  <si>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</si>
  <si>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</si>
  <si>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</si>
  <si>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</si>
  <si>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</si>
  <si>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</si>
  <si>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</si>
  <si>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</si>
  <si>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</si>
  <si>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</si>
  <si>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</si>
  <si>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</si>
  <si>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</si>
  <si>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</si>
  <si>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</si>
  <si>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</si>
  <si>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</si>
  <si>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</si>
  <si>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</si>
  <si>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</si>
  <si>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</si>
  <si>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</si>
  <si>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</si>
  <si>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</si>
  <si>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</si>
  <si>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</si>
  <si>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</si>
  <si>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</si>
  <si>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</si>
  <si>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</si>
  <si>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</si>
  <si>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</si>
  <si>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</si>
  <si>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</si>
  <si>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</si>
  <si>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</si>
  <si>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</si>
  <si>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</si>
  <si>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</si>
  <si>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</si>
  <si>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</si>
  <si>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</si>
  <si>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</si>
  <si>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</si>
  <si>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STARK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</si>
</sst>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517" activePane="bottomRight" state="frozen"/>
      <selection pane="topRight" activeCell="F1" sqref="F1"/>
      <selection pane="bottomLeft" activeCell="A4" sqref="A4"/>
      <selection pane="bottomRight" activeCell="H531" sqref="H531:K53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499</v>
      </c>
      <c r="C2" s="21">
        <v>499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27202.15+1000.05</f>
        <v>28202.2</v>
      </c>
      <c r="G9" s="18"/>
      <c r="H9" s="18"/>
      <c r="I9" s="18"/>
      <c r="J9" s="67">
        <f>SUM(I439)</f>
        <v>280774.84999999998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803.1+10955.57</f>
        <v>11758.67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803.1</v>
      </c>
      <c r="H14" s="18">
        <v>10955.57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39960.870000000003</v>
      </c>
      <c r="G19" s="41">
        <f>SUM(G9:G18)</f>
        <v>803.1</v>
      </c>
      <c r="H19" s="41">
        <f>SUM(H9:H18)</f>
        <v>10955.57</v>
      </c>
      <c r="I19" s="41">
        <f>SUM(I9:I18)</f>
        <v>0</v>
      </c>
      <c r="J19" s="41">
        <f>SUM(J9:J18)</f>
        <v>280774.84999999998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803.1</v>
      </c>
      <c r="H22" s="18">
        <f>4627.18+6328.39</f>
        <v>10955.57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1727.09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1727.09</v>
      </c>
      <c r="G32" s="41">
        <f>SUM(G22:G31)</f>
        <v>803.1</v>
      </c>
      <c r="H32" s="41">
        <f>SUM(H22:H31)</f>
        <v>10955.57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280774.84999999998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15146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23087.78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38233.78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280774.84999999998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39960.869999999995</v>
      </c>
      <c r="G52" s="41">
        <f>G51+G32</f>
        <v>803.1</v>
      </c>
      <c r="H52" s="41">
        <f>H51+H32</f>
        <v>10955.57</v>
      </c>
      <c r="I52" s="41">
        <f>I51+I32</f>
        <v>0</v>
      </c>
      <c r="J52" s="41">
        <f>J51+J32</f>
        <v>280774.84999999998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496275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496275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92.64</v>
      </c>
      <c r="G96" s="18"/>
      <c r="H96" s="18"/>
      <c r="I96" s="18"/>
      <c r="J96" s="18">
        <v>7344.1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7539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2125.87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2218.5099999999998</v>
      </c>
      <c r="G111" s="41">
        <f>SUM(G96:G110)</f>
        <v>7539</v>
      </c>
      <c r="H111" s="41">
        <f>SUM(H96:H110)</f>
        <v>0</v>
      </c>
      <c r="I111" s="41">
        <f>SUM(I96:I110)</f>
        <v>0</v>
      </c>
      <c r="J111" s="41">
        <f>SUM(J96:J110)</f>
        <v>7344.1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498493.51</v>
      </c>
      <c r="G112" s="41">
        <f>G60+G111</f>
        <v>7539</v>
      </c>
      <c r="H112" s="41">
        <f>H60+H79+H94+H111</f>
        <v>0</v>
      </c>
      <c r="I112" s="41">
        <f>I60+I111</f>
        <v>0</v>
      </c>
      <c r="J112" s="41">
        <f>J60+J111</f>
        <v>7344.1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270548.08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109557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380105.08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191.91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191.91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380105.08</v>
      </c>
      <c r="G140" s="41">
        <f>G121+SUM(G136:G137)</f>
        <v>191.91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18368.900000000001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28225.42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10592.3+863.4+318.43</f>
        <v>11774.13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15242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189.95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189.95</v>
      </c>
      <c r="G162" s="41">
        <f>SUM(G150:G161)</f>
        <v>11774.13</v>
      </c>
      <c r="H162" s="41">
        <f>SUM(H150:H161)</f>
        <v>61836.32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24437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24626.95</v>
      </c>
      <c r="G169" s="41">
        <f>G147+G162+SUM(G163:G168)</f>
        <v>11774.13</v>
      </c>
      <c r="H169" s="41">
        <f>H147+H162+SUM(H163:H168)</f>
        <v>61836.32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10630.19-318.43</f>
        <v>10311.76</v>
      </c>
      <c r="H179" s="18"/>
      <c r="I179" s="18"/>
      <c r="J179" s="18">
        <v>16078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10311.76</v>
      </c>
      <c r="H183" s="41">
        <f>SUM(H179:H182)</f>
        <v>0</v>
      </c>
      <c r="I183" s="41">
        <f>SUM(I179:I182)</f>
        <v>0</v>
      </c>
      <c r="J183" s="41">
        <f>SUM(J179:J182)</f>
        <v>16078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10311.76</v>
      </c>
      <c r="H192" s="41">
        <f>+H183+SUM(H188:H191)</f>
        <v>0</v>
      </c>
      <c r="I192" s="41">
        <f>I177+I183+SUM(I188:I191)</f>
        <v>0</v>
      </c>
      <c r="J192" s="41">
        <f>J183</f>
        <v>16078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903225.54</v>
      </c>
      <c r="G193" s="47">
        <f>G112+G140+G169+G192</f>
        <v>29816.800000000003</v>
      </c>
      <c r="H193" s="47">
        <f>H112+H140+H169+H192</f>
        <v>61836.32</v>
      </c>
      <c r="I193" s="47">
        <f>I112+I140+I169+I192</f>
        <v>0</v>
      </c>
      <c r="J193" s="47">
        <f>J112+J140+J192</f>
        <v>23422.1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124564.73+1999.97+2930</f>
        <v>129494.7</v>
      </c>
      <c r="G197" s="18">
        <f>38944.24+704.48+9774.69+6.7+18550.75+2949.79</f>
        <v>70930.649999999994</v>
      </c>
      <c r="H197" s="18">
        <f>7604.46+525.4+584.37+938.74</f>
        <v>9652.9699999999993</v>
      </c>
      <c r="I197" s="18">
        <f>3769.77+591.55+349+0.72+84.47</f>
        <v>4795.51</v>
      </c>
      <c r="J197" s="18">
        <f>2000.11</f>
        <v>2000.11</v>
      </c>
      <c r="K197" s="18"/>
      <c r="L197" s="19">
        <f>SUM(F197:K197)</f>
        <v>216873.93999999997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1838.45</f>
        <v>1838.45</v>
      </c>
      <c r="G198" s="18">
        <f>672+8.93+136.86+288.08+40.13</f>
        <v>1146</v>
      </c>
      <c r="H198" s="18">
        <f>4218+693</f>
        <v>4911</v>
      </c>
      <c r="I198" s="18"/>
      <c r="J198" s="18"/>
      <c r="K198" s="18"/>
      <c r="L198" s="19">
        <f>SUM(F198:K198)</f>
        <v>7895.45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2700+1990.31</f>
        <v>4690.3099999999995</v>
      </c>
      <c r="G200" s="18">
        <f>197.66+83.77+305.56+126.7+205.68</f>
        <v>919.37000000000012</v>
      </c>
      <c r="H200" s="18"/>
      <c r="I200" s="18">
        <f>547.69</f>
        <v>547.69000000000005</v>
      </c>
      <c r="J200" s="18"/>
      <c r="K200" s="18"/>
      <c r="L200" s="19">
        <f>SUM(F200:K200)</f>
        <v>6157.369999999999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f>7484.15+4837</f>
        <v>12321.15</v>
      </c>
      <c r="I202" s="18">
        <f>440.34</f>
        <v>440.34</v>
      </c>
      <c r="J202" s="18"/>
      <c r="K202" s="18"/>
      <c r="L202" s="19">
        <f t="shared" ref="L202:L208" si="0">SUM(F202:K202)</f>
        <v>12761.49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2450+827.12</f>
        <v>3277.12</v>
      </c>
      <c r="G203" s="18">
        <f>187.41+56.16+63.3+61.4</f>
        <v>368.27</v>
      </c>
      <c r="H203" s="18">
        <f>1181.66+127.44</f>
        <v>1309.1000000000001</v>
      </c>
      <c r="I203" s="18">
        <f>64.28+227.54</f>
        <v>291.82</v>
      </c>
      <c r="J203" s="18"/>
      <c r="K203" s="18"/>
      <c r="L203" s="19">
        <f t="shared" si="0"/>
        <v>5246.3099999999995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2383.6</v>
      </c>
      <c r="G204" s="18">
        <f>181.27+23.07</f>
        <v>204.34</v>
      </c>
      <c r="H204" s="18">
        <f>4602+2181.9+55452.67</f>
        <v>62236.57</v>
      </c>
      <c r="I204" s="18"/>
      <c r="J204" s="18"/>
      <c r="K204" s="18">
        <v>1272.28</v>
      </c>
      <c r="L204" s="19">
        <f t="shared" si="0"/>
        <v>66096.790000000008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33662.73+9746.25</f>
        <v>43408.98</v>
      </c>
      <c r="G205" s="18">
        <f>12304.61+163.11+3163.86+1088.69+5274.89+1364+1284.01</f>
        <v>24643.17</v>
      </c>
      <c r="H205" s="18">
        <f>1200+98+4148.04+185.89</f>
        <v>5631.93</v>
      </c>
      <c r="I205" s="18">
        <f>315.52+556.86+242.86+2341</f>
        <v>3456.24</v>
      </c>
      <c r="J205" s="18">
        <f>69.82</f>
        <v>69.819999999999993</v>
      </c>
      <c r="K205" s="18">
        <f>674.34+335</f>
        <v>1009.34</v>
      </c>
      <c r="L205" s="19">
        <f t="shared" si="0"/>
        <v>78219.48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13620+180</f>
        <v>13800</v>
      </c>
      <c r="G207" s="18">
        <f>1032.58+802.51</f>
        <v>1835.09</v>
      </c>
      <c r="H207" s="18">
        <f>1200+9847.5+6830.99+3039+5989.31</f>
        <v>26906.799999999999</v>
      </c>
      <c r="I207" s="18">
        <f>1595.51+257.26+663.92+6005.14</f>
        <v>8521.83</v>
      </c>
      <c r="J207" s="18">
        <f>108.99+109.99</f>
        <v>218.98</v>
      </c>
      <c r="K207" s="18"/>
      <c r="L207" s="19">
        <f t="shared" si="0"/>
        <v>51282.700000000004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26329.32+801</f>
        <v>27130.32</v>
      </c>
      <c r="I208" s="18"/>
      <c r="J208" s="18"/>
      <c r="K208" s="18"/>
      <c r="L208" s="19">
        <f t="shared" si="0"/>
        <v>27130.32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198893.16</v>
      </c>
      <c r="G211" s="41">
        <f t="shared" si="1"/>
        <v>100046.88999999998</v>
      </c>
      <c r="H211" s="41">
        <f t="shared" si="1"/>
        <v>150099.84</v>
      </c>
      <c r="I211" s="41">
        <f t="shared" si="1"/>
        <v>18053.43</v>
      </c>
      <c r="J211" s="41">
        <f t="shared" si="1"/>
        <v>2288.91</v>
      </c>
      <c r="K211" s="41">
        <f t="shared" si="1"/>
        <v>2281.62</v>
      </c>
      <c r="L211" s="41">
        <f t="shared" si="1"/>
        <v>471663.85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>SUM(F222:K222)</f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127952.16+141529.2</f>
        <v>269481.36</v>
      </c>
      <c r="I233" s="18"/>
      <c r="J233" s="18"/>
      <c r="K233" s="18"/>
      <c r="L233" s="19">
        <f>SUM(F233:K233)</f>
        <v>269481.36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41126.97</f>
        <v>41126.97</v>
      </c>
      <c r="I234" s="18"/>
      <c r="J234" s="18"/>
      <c r="K234" s="18"/>
      <c r="L234" s="19">
        <f>SUM(F234:K234)</f>
        <v>41126.97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1656.4</v>
      </c>
      <c r="G240" s="18">
        <v>141.99</v>
      </c>
      <c r="H240" s="18">
        <v>43249.14</v>
      </c>
      <c r="I240" s="18"/>
      <c r="J240" s="18"/>
      <c r="K240" s="18">
        <v>884.13</v>
      </c>
      <c r="L240" s="19">
        <f>SUM(F240:K240)</f>
        <v>45931.659999999996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22428.68</v>
      </c>
      <c r="I244" s="18"/>
      <c r="J244" s="18"/>
      <c r="K244" s="18"/>
      <c r="L244" s="19">
        <f t="shared" si="4"/>
        <v>22428.68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1656.4</v>
      </c>
      <c r="G247" s="41">
        <f t="shared" si="5"/>
        <v>141.99</v>
      </c>
      <c r="H247" s="41">
        <f t="shared" si="5"/>
        <v>376286.14999999997</v>
      </c>
      <c r="I247" s="41">
        <f t="shared" si="5"/>
        <v>0</v>
      </c>
      <c r="J247" s="41">
        <f t="shared" si="5"/>
        <v>0</v>
      </c>
      <c r="K247" s="41">
        <f t="shared" si="5"/>
        <v>884.13</v>
      </c>
      <c r="L247" s="41">
        <f t="shared" si="5"/>
        <v>378968.66999999993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4048</v>
      </c>
      <c r="I255" s="18"/>
      <c r="J255" s="18"/>
      <c r="K255" s="18"/>
      <c r="L255" s="19">
        <f t="shared" si="6"/>
        <v>4048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4048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4048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200549.56</v>
      </c>
      <c r="G257" s="41">
        <f t="shared" si="8"/>
        <v>100188.87999999999</v>
      </c>
      <c r="H257" s="41">
        <f t="shared" si="8"/>
        <v>530433.99</v>
      </c>
      <c r="I257" s="41">
        <f t="shared" si="8"/>
        <v>18053.43</v>
      </c>
      <c r="J257" s="41">
        <f t="shared" si="8"/>
        <v>2288.91</v>
      </c>
      <c r="K257" s="41">
        <f t="shared" si="8"/>
        <v>3165.75</v>
      </c>
      <c r="L257" s="41">
        <f t="shared" si="8"/>
        <v>854680.5199999999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10630.19-318.43</f>
        <v>10311.76</v>
      </c>
      <c r="L263" s="19">
        <f>SUM(F263:K263)</f>
        <v>10311.76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16078</v>
      </c>
      <c r="L266" s="19">
        <f t="shared" si="9"/>
        <v>16078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26389.760000000002</v>
      </c>
      <c r="L270" s="41">
        <f t="shared" si="9"/>
        <v>26389.760000000002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200549.56</v>
      </c>
      <c r="G271" s="42">
        <f t="shared" si="11"/>
        <v>100188.87999999999</v>
      </c>
      <c r="H271" s="42">
        <f t="shared" si="11"/>
        <v>530433.99</v>
      </c>
      <c r="I271" s="42">
        <f t="shared" si="11"/>
        <v>18053.43</v>
      </c>
      <c r="J271" s="42">
        <f t="shared" si="11"/>
        <v>2288.91</v>
      </c>
      <c r="K271" s="42">
        <f t="shared" si="11"/>
        <v>29555.510000000002</v>
      </c>
      <c r="L271" s="42">
        <f t="shared" si="11"/>
        <v>881070.27999999991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17235</v>
      </c>
      <c r="G276" s="18">
        <v>4445.32</v>
      </c>
      <c r="H276" s="18">
        <v>10306.48</v>
      </c>
      <c r="I276" s="18">
        <v>4850.3599999999997</v>
      </c>
      <c r="J276" s="18">
        <v>8757.16</v>
      </c>
      <c r="K276" s="18"/>
      <c r="L276" s="19">
        <f>SUM(F276:K276)</f>
        <v>45594.319999999992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15242</v>
      </c>
      <c r="I277" s="18"/>
      <c r="J277" s="18"/>
      <c r="K277" s="18"/>
      <c r="L277" s="19">
        <f>SUM(F277:K277)</f>
        <v>15242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>
        <v>114.21</v>
      </c>
      <c r="J282" s="18">
        <v>885.79</v>
      </c>
      <c r="K282" s="18"/>
      <c r="L282" s="19">
        <f t="shared" si="12"/>
        <v>1000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17235</v>
      </c>
      <c r="G290" s="42">
        <f t="shared" si="13"/>
        <v>4445.32</v>
      </c>
      <c r="H290" s="42">
        <f t="shared" si="13"/>
        <v>25548.48</v>
      </c>
      <c r="I290" s="42">
        <f t="shared" si="13"/>
        <v>4964.57</v>
      </c>
      <c r="J290" s="42">
        <f t="shared" si="13"/>
        <v>9642.9500000000007</v>
      </c>
      <c r="K290" s="42">
        <f t="shared" si="13"/>
        <v>0</v>
      </c>
      <c r="L290" s="41">
        <f t="shared" si="13"/>
        <v>61836.319999999992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17235</v>
      </c>
      <c r="G338" s="41">
        <f t="shared" si="20"/>
        <v>4445.32</v>
      </c>
      <c r="H338" s="41">
        <f t="shared" si="20"/>
        <v>25548.48</v>
      </c>
      <c r="I338" s="41">
        <f t="shared" si="20"/>
        <v>4964.57</v>
      </c>
      <c r="J338" s="41">
        <f t="shared" si="20"/>
        <v>9642.9500000000007</v>
      </c>
      <c r="K338" s="41">
        <f t="shared" si="20"/>
        <v>0</v>
      </c>
      <c r="L338" s="41">
        <f t="shared" si="20"/>
        <v>61836.319999999992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17235</v>
      </c>
      <c r="G352" s="41">
        <f>G338</f>
        <v>4445.32</v>
      </c>
      <c r="H352" s="41">
        <f>H338</f>
        <v>25548.48</v>
      </c>
      <c r="I352" s="41">
        <f>I338</f>
        <v>4964.57</v>
      </c>
      <c r="J352" s="41">
        <f>J338</f>
        <v>9642.9500000000007</v>
      </c>
      <c r="K352" s="47">
        <f>K338+K351</f>
        <v>0</v>
      </c>
      <c r="L352" s="41">
        <f>L338+L351</f>
        <v>61836.319999999992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29816.799999999999</v>
      </c>
      <c r="I358" s="18"/>
      <c r="J358" s="18"/>
      <c r="K358" s="18"/>
      <c r="L358" s="13">
        <f>SUM(F358:K358)</f>
        <v>29816.799999999999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29816.799999999999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29816.799999999999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>
        <v>2930.57</v>
      </c>
      <c r="I396" s="18"/>
      <c r="J396" s="24" t="s">
        <v>289</v>
      </c>
      <c r="K396" s="24" t="s">
        <v>289</v>
      </c>
      <c r="L396" s="56">
        <f t="shared" si="26"/>
        <v>12930.57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6078</v>
      </c>
      <c r="H397" s="18">
        <v>3327.3</v>
      </c>
      <c r="I397" s="18"/>
      <c r="J397" s="24" t="s">
        <v>289</v>
      </c>
      <c r="K397" s="24" t="s">
        <v>289</v>
      </c>
      <c r="L397" s="56">
        <f t="shared" si="26"/>
        <v>9405.2999999999993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1086.23</v>
      </c>
      <c r="I398" s="18"/>
      <c r="J398" s="24" t="s">
        <v>289</v>
      </c>
      <c r="K398" s="24" t="s">
        <v>289</v>
      </c>
      <c r="L398" s="56">
        <f t="shared" si="26"/>
        <v>1086.23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16078</v>
      </c>
      <c r="H401" s="47">
        <f>SUM(H395:H400)</f>
        <v>7344.1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23422.1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16078</v>
      </c>
      <c r="H408" s="47">
        <f>H393+H401+H407</f>
        <v>7344.1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23422.1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280774.84999999998</v>
      </c>
      <c r="H439" s="18"/>
      <c r="I439" s="56">
        <f t="shared" ref="I439:I445" si="33">SUM(F439:H439)</f>
        <v>280774.84999999998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280774.84999999998</v>
      </c>
      <c r="H446" s="13">
        <f>SUM(H439:H445)</f>
        <v>0</v>
      </c>
      <c r="I446" s="13">
        <f>SUM(I439:I445)</f>
        <v>280774.84999999998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280774.84999999998</v>
      </c>
      <c r="H456" s="18"/>
      <c r="I456" s="56">
        <f t="shared" si="34"/>
        <v>280774.84999999998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280774.84999999998</v>
      </c>
      <c r="H460" s="83">
        <f>SUM(H454:H459)</f>
        <v>0</v>
      </c>
      <c r="I460" s="83">
        <f>SUM(I454:I459)</f>
        <v>280774.84999999998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280774.84999999998</v>
      </c>
      <c r="H461" s="42">
        <f>H452+H460</f>
        <v>0</v>
      </c>
      <c r="I461" s="42">
        <f>I452+I460</f>
        <v>280774.84999999998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16078.52</v>
      </c>
      <c r="G465" s="18"/>
      <c r="H465" s="18"/>
      <c r="I465" s="18"/>
      <c r="J465" s="18">
        <v>257352.75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903225.54</f>
        <v>903225.54</v>
      </c>
      <c r="G468" s="18">
        <v>29816.799999999999</v>
      </c>
      <c r="H468" s="18">
        <v>61836.32</v>
      </c>
      <c r="I468" s="18"/>
      <c r="J468" s="18">
        <v>23422.1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903225.54</v>
      </c>
      <c r="G470" s="53">
        <f>SUM(G468:G469)</f>
        <v>29816.799999999999</v>
      </c>
      <c r="H470" s="53">
        <f>SUM(H468:H469)</f>
        <v>61836.32</v>
      </c>
      <c r="I470" s="53">
        <f>SUM(I468:I469)</f>
        <v>0</v>
      </c>
      <c r="J470" s="53">
        <f>SUM(J468:J469)</f>
        <v>23422.1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881070.28</v>
      </c>
      <c r="G472" s="18">
        <v>29816.799999999999</v>
      </c>
      <c r="H472" s="18">
        <v>61836.32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881070.28</v>
      </c>
      <c r="G474" s="53">
        <f>SUM(G472:G473)</f>
        <v>29816.799999999999</v>
      </c>
      <c r="H474" s="53">
        <f>SUM(H472:H473)</f>
        <v>61836.32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38233.780000000028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280774.84999999998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1838.45</v>
      </c>
      <c r="G521" s="18">
        <v>1146</v>
      </c>
      <c r="H521" s="18">
        <v>4911</v>
      </c>
      <c r="I521" s="18"/>
      <c r="J521" s="18"/>
      <c r="K521" s="18"/>
      <c r="L521" s="88">
        <f>SUM(F521:K521)</f>
        <v>7895.45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41126.97</v>
      </c>
      <c r="I523" s="18"/>
      <c r="J523" s="18"/>
      <c r="K523" s="18"/>
      <c r="L523" s="88">
        <f>SUM(F523:K523)</f>
        <v>41126.97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1838.45</v>
      </c>
      <c r="G524" s="108">
        <f t="shared" ref="G524:L524" si="36">SUM(G521:G523)</f>
        <v>1146</v>
      </c>
      <c r="H524" s="108">
        <f t="shared" si="36"/>
        <v>46037.97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49022.42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4333.93</v>
      </c>
      <c r="I531" s="18"/>
      <c r="J531" s="18"/>
      <c r="K531" s="18">
        <v>335</v>
      </c>
      <c r="L531" s="88">
        <f>SUM(F531:K531)</f>
        <v>4668.93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4333.93</v>
      </c>
      <c r="I534" s="89">
        <f t="shared" si="38"/>
        <v>0</v>
      </c>
      <c r="J534" s="89">
        <f t="shared" si="38"/>
        <v>0</v>
      </c>
      <c r="K534" s="89">
        <f t="shared" si="38"/>
        <v>335</v>
      </c>
      <c r="L534" s="89">
        <f t="shared" si="38"/>
        <v>4668.93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1838.45</v>
      </c>
      <c r="G545" s="89">
        <f t="shared" ref="G545:L545" si="41">G524+G529+G534+G539+G544</f>
        <v>1146</v>
      </c>
      <c r="H545" s="89">
        <f t="shared" si="41"/>
        <v>50371.9</v>
      </c>
      <c r="I545" s="89">
        <f t="shared" si="41"/>
        <v>0</v>
      </c>
      <c r="J545" s="89">
        <f t="shared" si="41"/>
        <v>0</v>
      </c>
      <c r="K545" s="89">
        <f t="shared" si="41"/>
        <v>335</v>
      </c>
      <c r="L545" s="89">
        <f t="shared" si="41"/>
        <v>53691.35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7895.45</v>
      </c>
      <c r="G549" s="87">
        <f>L526</f>
        <v>0</v>
      </c>
      <c r="H549" s="87">
        <f>L531</f>
        <v>4668.93</v>
      </c>
      <c r="I549" s="87">
        <f>L536</f>
        <v>0</v>
      </c>
      <c r="J549" s="87">
        <f>L541</f>
        <v>0</v>
      </c>
      <c r="K549" s="87">
        <f>SUM(F549:J549)</f>
        <v>12564.380000000001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41126.97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41126.97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49022.42</v>
      </c>
      <c r="G552" s="89">
        <f t="shared" si="42"/>
        <v>0</v>
      </c>
      <c r="H552" s="89">
        <f t="shared" si="42"/>
        <v>4668.93</v>
      </c>
      <c r="I552" s="89">
        <f t="shared" si="42"/>
        <v>0</v>
      </c>
      <c r="J552" s="89">
        <f t="shared" si="42"/>
        <v>0</v>
      </c>
      <c r="K552" s="89">
        <f t="shared" si="42"/>
        <v>53691.350000000006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127952.16+141529.2</f>
        <v>269481.36</v>
      </c>
      <c r="I575" s="87">
        <f>SUM(F575:H575)</f>
        <v>269481.36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41126.97</v>
      </c>
      <c r="I582" s="87">
        <f t="shared" si="47"/>
        <v>41126.97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26329.32</v>
      </c>
      <c r="I591" s="18"/>
      <c r="J591" s="18">
        <v>22428.68</v>
      </c>
      <c r="K591" s="104">
        <f t="shared" ref="K591:K597" si="48">SUM(H591:J591)</f>
        <v>48758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801</v>
      </c>
      <c r="I595" s="18"/>
      <c r="J595" s="18"/>
      <c r="K595" s="104">
        <f t="shared" si="48"/>
        <v>801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27130.32</v>
      </c>
      <c r="I598" s="108">
        <f>SUM(I591:I597)</f>
        <v>0</v>
      </c>
      <c r="J598" s="108">
        <f>SUM(J591:J597)</f>
        <v>22428.68</v>
      </c>
      <c r="K598" s="108">
        <f>SUM(K591:K597)</f>
        <v>49559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11931.86</v>
      </c>
      <c r="I604" s="18"/>
      <c r="J604" s="18"/>
      <c r="K604" s="104">
        <f>SUM(H604:J604)</f>
        <v>11931.86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11931.86</v>
      </c>
      <c r="I605" s="108">
        <f>SUM(I602:I604)</f>
        <v>0</v>
      </c>
      <c r="J605" s="108">
        <f>SUM(J602:J604)</f>
        <v>0</v>
      </c>
      <c r="K605" s="108">
        <f>SUM(K602:K604)</f>
        <v>11931.86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2700</v>
      </c>
      <c r="G611" s="18">
        <f>197.66+83.77+305.56</f>
        <v>586.99</v>
      </c>
      <c r="H611" s="18"/>
      <c r="I611" s="18"/>
      <c r="J611" s="18"/>
      <c r="K611" s="18"/>
      <c r="L611" s="88">
        <f>SUM(F611:K611)</f>
        <v>3286.99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2700</v>
      </c>
      <c r="G614" s="108">
        <f t="shared" si="49"/>
        <v>586.99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3286.99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39960.870000000003</v>
      </c>
      <c r="H617" s="109">
        <f>SUM(F52)</f>
        <v>39960.869999999995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803.1</v>
      </c>
      <c r="H618" s="109">
        <f>SUM(G52)</f>
        <v>803.1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10955.57</v>
      </c>
      <c r="H619" s="109">
        <f>SUM(H52)</f>
        <v>10955.57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280774.84999999998</v>
      </c>
      <c r="H621" s="109">
        <f>SUM(J52)</f>
        <v>280774.84999999998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38233.78</v>
      </c>
      <c r="H622" s="109">
        <f>F476</f>
        <v>38233.780000000028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280774.84999999998</v>
      </c>
      <c r="H626" s="109">
        <f>J476</f>
        <v>280774.84999999998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903225.54</v>
      </c>
      <c r="H627" s="104">
        <f>SUM(F468)</f>
        <v>903225.54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29816.800000000003</v>
      </c>
      <c r="H628" s="104">
        <f>SUM(G468)</f>
        <v>29816.799999999999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61836.32</v>
      </c>
      <c r="H629" s="104">
        <f>SUM(H468)</f>
        <v>61836.32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23422.1</v>
      </c>
      <c r="H631" s="104">
        <f>SUM(J468)</f>
        <v>23422.1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881070.27999999991</v>
      </c>
      <c r="H632" s="104">
        <f>SUM(F472)</f>
        <v>881070.28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61836.319999999992</v>
      </c>
      <c r="H633" s="104">
        <f>SUM(H472)</f>
        <v>61836.32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29816.799999999999</v>
      </c>
      <c r="H635" s="104">
        <f>SUM(G472)</f>
        <v>29816.799999999999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23422.1</v>
      </c>
      <c r="H637" s="164">
        <f>SUM(J468)</f>
        <v>23422.1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280774.84999999998</v>
      </c>
      <c r="H640" s="104">
        <f>SUM(G461)</f>
        <v>280774.84999999998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280774.84999999998</v>
      </c>
      <c r="H642" s="104">
        <f>SUM(I461)</f>
        <v>280774.84999999998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7344.1</v>
      </c>
      <c r="H644" s="104">
        <f>H408</f>
        <v>7344.1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16078</v>
      </c>
      <c r="H645" s="104">
        <f>G408</f>
        <v>16078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23422.1</v>
      </c>
      <c r="H646" s="104">
        <f>L408</f>
        <v>23422.1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49559</v>
      </c>
      <c r="H647" s="104">
        <f>L208+L226+L244</f>
        <v>49559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11931.86</v>
      </c>
      <c r="H648" s="104">
        <f>(J257+J338)-(J255+J336)</f>
        <v>11931.86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27130.32</v>
      </c>
      <c r="H649" s="104">
        <f>H598</f>
        <v>27130.32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22428.68</v>
      </c>
      <c r="H651" s="104">
        <f>J598</f>
        <v>22428.68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10311.76</v>
      </c>
      <c r="H652" s="104">
        <f>K263+K345</f>
        <v>10311.76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16078</v>
      </c>
      <c r="H655" s="104">
        <f>K266+K347</f>
        <v>16078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563316.97</v>
      </c>
      <c r="G660" s="19">
        <f>(L229+L309+L359)</f>
        <v>0</v>
      </c>
      <c r="H660" s="19">
        <f>(L247+L328+L360)</f>
        <v>378968.66999999993</v>
      </c>
      <c r="I660" s="19">
        <f>SUM(F660:H660)</f>
        <v>942285.6399999999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7539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7539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27130.32</v>
      </c>
      <c r="G662" s="19">
        <f>(L226+L306)-(J226+J306)</f>
        <v>0</v>
      </c>
      <c r="H662" s="19">
        <f>(L244+L325)-(J244+J325)</f>
        <v>22428.68</v>
      </c>
      <c r="I662" s="19">
        <f>SUM(F662:H662)</f>
        <v>49559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15218.85</v>
      </c>
      <c r="G663" s="199">
        <f>SUM(G575:G587)+SUM(I602:I604)+L612</f>
        <v>0</v>
      </c>
      <c r="H663" s="199">
        <f>SUM(H575:H587)+SUM(J602:J604)+L613</f>
        <v>310608.32999999996</v>
      </c>
      <c r="I663" s="19">
        <f>SUM(F663:H663)</f>
        <v>325827.17999999993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513428.8</v>
      </c>
      <c r="G664" s="19">
        <f>G660-SUM(G661:G663)</f>
        <v>0</v>
      </c>
      <c r="H664" s="19">
        <f>H660-SUM(H661:H663)</f>
        <v>45931.659999999974</v>
      </c>
      <c r="I664" s="19">
        <f>I660-SUM(I661:I663)</f>
        <v>559360.46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26.62</v>
      </c>
      <c r="G665" s="248"/>
      <c r="H665" s="248"/>
      <c r="I665" s="19">
        <f>SUM(F665:H665)</f>
        <v>26.62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19287.330000000002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21012.79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-45931.66</v>
      </c>
      <c r="I669" s="19">
        <f>SUM(F669:H669)</f>
        <v>-45931.66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19287.330000000002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19287.330000000002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2" sqref="B3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STARK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146729.70000000001</v>
      </c>
      <c r="C9" s="229">
        <f>'DOE25'!G197+'DOE25'!G215+'DOE25'!G233+'DOE25'!G276+'DOE25'!G295+'DOE25'!G314</f>
        <v>75375.97</v>
      </c>
    </row>
    <row r="10" spans="1:3" x14ac:dyDescent="0.2">
      <c r="A10" t="s">
        <v>779</v>
      </c>
      <c r="B10" s="240">
        <f>124566.56+1999.97+2930+17235-1.83</f>
        <v>146729.70000000001</v>
      </c>
      <c r="C10" s="240">
        <v>75375.97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146729.70000000001</v>
      </c>
      <c r="C13" s="231">
        <f>SUM(C10:C12)</f>
        <v>75375.97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1838.45</v>
      </c>
      <c r="C18" s="229">
        <f>'DOE25'!G198+'DOE25'!G216+'DOE25'!G234+'DOE25'!G277+'DOE25'!G296+'DOE25'!G315</f>
        <v>1146</v>
      </c>
    </row>
    <row r="19" spans="1:3" x14ac:dyDescent="0.2">
      <c r="A19" t="s">
        <v>779</v>
      </c>
      <c r="B19" s="240">
        <f>1838.45</f>
        <v>1838.45</v>
      </c>
      <c r="C19" s="240">
        <f>672+8.93+136.86+288.08+40.13</f>
        <v>1146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1838.45</v>
      </c>
      <c r="C22" s="231">
        <f>SUM(C19:C21)</f>
        <v>1146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4690.3099999999995</v>
      </c>
      <c r="C36" s="235">
        <f>'DOE25'!G200+'DOE25'!G218+'DOE25'!G236+'DOE25'!G279+'DOE25'!G298+'DOE25'!G317</f>
        <v>919.37000000000012</v>
      </c>
    </row>
    <row r="37" spans="1:3" x14ac:dyDescent="0.2">
      <c r="A37" t="s">
        <v>779</v>
      </c>
      <c r="B37" s="240">
        <f>2700+1990.31</f>
        <v>4690.3099999999995</v>
      </c>
      <c r="C37" s="240">
        <f>197.66+83.77+305.56+126.7+205.68</f>
        <v>919.37000000000012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4690.3099999999995</v>
      </c>
      <c r="C40" s="231">
        <f>SUM(C37:C39)</f>
        <v>919.37000000000012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activeCell="D24" sqref="D2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STARK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541535.09</v>
      </c>
      <c r="D5" s="20">
        <f>SUM('DOE25'!L197:L200)+SUM('DOE25'!L215:L218)+SUM('DOE25'!L233:L236)-F5-G5</f>
        <v>539534.98</v>
      </c>
      <c r="E5" s="243"/>
      <c r="F5" s="255">
        <f>SUM('DOE25'!J197:J200)+SUM('DOE25'!J215:J218)+SUM('DOE25'!J233:J236)</f>
        <v>2000.11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12761.49</v>
      </c>
      <c r="D6" s="20">
        <f>'DOE25'!L202+'DOE25'!L220+'DOE25'!L238-F6-G6</f>
        <v>12761.49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5246.3099999999995</v>
      </c>
      <c r="D7" s="20">
        <f>'DOE25'!L203+'DOE25'!L221+'DOE25'!L239-F7-G7</f>
        <v>5246.3099999999995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57807.400000000009</v>
      </c>
      <c r="D8" s="243"/>
      <c r="E8" s="20">
        <f>'DOE25'!L204+'DOE25'!L222+'DOE25'!L240-F8-G8-D9-D11</f>
        <v>55650.990000000005</v>
      </c>
      <c r="F8" s="255">
        <f>'DOE25'!J204+'DOE25'!J222+'DOE25'!J240</f>
        <v>0</v>
      </c>
      <c r="G8" s="53">
        <f>'DOE25'!K204+'DOE25'!K222+'DOE25'!K240</f>
        <v>2156.41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18040.88</v>
      </c>
      <c r="D9" s="244">
        <v>18040.88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7800</v>
      </c>
      <c r="D10" s="243"/>
      <c r="E10" s="244">
        <v>7800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36180.17</v>
      </c>
      <c r="D11" s="244">
        <v>36180.17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78219.48</v>
      </c>
      <c r="D12" s="20">
        <f>'DOE25'!L205+'DOE25'!L223+'DOE25'!L241-F12-G12</f>
        <v>77140.319999999992</v>
      </c>
      <c r="E12" s="243"/>
      <c r="F12" s="255">
        <f>'DOE25'!J205+'DOE25'!J223+'DOE25'!J241</f>
        <v>69.819999999999993</v>
      </c>
      <c r="G12" s="53">
        <f>'DOE25'!K205+'DOE25'!K223+'DOE25'!K241</f>
        <v>1009.34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51282.700000000004</v>
      </c>
      <c r="D14" s="20">
        <f>'DOE25'!L207+'DOE25'!L225+'DOE25'!L243-F14-G14</f>
        <v>51063.72</v>
      </c>
      <c r="E14" s="243"/>
      <c r="F14" s="255">
        <f>'DOE25'!J207+'DOE25'!J225+'DOE25'!J243</f>
        <v>218.98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49559</v>
      </c>
      <c r="D15" s="20">
        <f>'DOE25'!L208+'DOE25'!L226+'DOE25'!L244-F15-G15</f>
        <v>49559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4048</v>
      </c>
      <c r="D22" s="243"/>
      <c r="E22" s="243"/>
      <c r="F22" s="255">
        <f>'DOE25'!L255+'DOE25'!L336</f>
        <v>4048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29816.799999999999</v>
      </c>
      <c r="D29" s="20">
        <f>'DOE25'!L358+'DOE25'!L359+'DOE25'!L360-'DOE25'!I367-F29-G29</f>
        <v>29816.799999999999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61836.319999999992</v>
      </c>
      <c r="D31" s="20">
        <f>'DOE25'!L290+'DOE25'!L309+'DOE25'!L328+'DOE25'!L333+'DOE25'!L334+'DOE25'!L335-F31-G31</f>
        <v>52193.369999999995</v>
      </c>
      <c r="E31" s="243"/>
      <c r="F31" s="255">
        <f>'DOE25'!J290+'DOE25'!J309+'DOE25'!J328+'DOE25'!J333+'DOE25'!J334+'DOE25'!J335</f>
        <v>9642.9500000000007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871537.04</v>
      </c>
      <c r="E33" s="246">
        <f>SUM(E5:E31)</f>
        <v>63450.990000000005</v>
      </c>
      <c r="F33" s="246">
        <f>SUM(F5:F31)</f>
        <v>15979.86</v>
      </c>
      <c r="G33" s="246">
        <f>SUM(G5:G31)</f>
        <v>3165.75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63450.990000000005</v>
      </c>
      <c r="E35" s="249"/>
    </row>
    <row r="36" spans="2:8" ht="12" thickTop="1" x14ac:dyDescent="0.2">
      <c r="B36" t="s">
        <v>815</v>
      </c>
      <c r="D36" s="20">
        <f>D33</f>
        <v>871537.04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05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STARK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28202.2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280774.84999999998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11758.67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803.1</v>
      </c>
      <c r="E13" s="95">
        <f>'DOE25'!H14</f>
        <v>10955.57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39960.870000000003</v>
      </c>
      <c r="D18" s="41">
        <f>SUM(D8:D17)</f>
        <v>803.1</v>
      </c>
      <c r="E18" s="41">
        <f>SUM(E8:E17)</f>
        <v>10955.57</v>
      </c>
      <c r="F18" s="41">
        <f>SUM(F8:F17)</f>
        <v>0</v>
      </c>
      <c r="G18" s="41">
        <f>SUM(G8:G17)</f>
        <v>280774.84999999998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803.1</v>
      </c>
      <c r="E21" s="95">
        <f>'DOE25'!H22</f>
        <v>10955.57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1727.09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1727.09</v>
      </c>
      <c r="D31" s="41">
        <f>SUM(D21:D30)</f>
        <v>803.1</v>
      </c>
      <c r="E31" s="41">
        <f>SUM(E21:E30)</f>
        <v>10955.57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280774.84999999998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15146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23087.78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38233.78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280774.84999999998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39960.869999999995</v>
      </c>
      <c r="D51" s="41">
        <f>D50+D31</f>
        <v>803.1</v>
      </c>
      <c r="E51" s="41">
        <f>E50+E31</f>
        <v>10955.57</v>
      </c>
      <c r="F51" s="41">
        <f>F50+F31</f>
        <v>0</v>
      </c>
      <c r="G51" s="41">
        <f>G50+G31</f>
        <v>280774.84999999998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496275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92.64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7344.1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7539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2125.87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2218.5099999999998</v>
      </c>
      <c r="D62" s="130">
        <f>SUM(D57:D61)</f>
        <v>7539</v>
      </c>
      <c r="E62" s="130">
        <f>SUM(E57:E61)</f>
        <v>0</v>
      </c>
      <c r="F62" s="130">
        <f>SUM(F57:F61)</f>
        <v>0</v>
      </c>
      <c r="G62" s="130">
        <f>SUM(G57:G61)</f>
        <v>7344.1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498493.51</v>
      </c>
      <c r="D63" s="22">
        <f>D56+D62</f>
        <v>7539</v>
      </c>
      <c r="E63" s="22">
        <f>E56+E62</f>
        <v>0</v>
      </c>
      <c r="F63" s="22">
        <f>F56+F62</f>
        <v>0</v>
      </c>
      <c r="G63" s="22">
        <f>G56+G62</f>
        <v>7344.1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270548.08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109557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380105.08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191.91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191.91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380105.08</v>
      </c>
      <c r="D81" s="130">
        <f>SUM(D79:D80)+D78+D70</f>
        <v>191.91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189.95</v>
      </c>
      <c r="D88" s="95">
        <f>SUM('DOE25'!G153:G161)</f>
        <v>11774.13</v>
      </c>
      <c r="E88" s="95">
        <f>SUM('DOE25'!H153:H161)</f>
        <v>61836.32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24437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24626.95</v>
      </c>
      <c r="D91" s="131">
        <f>SUM(D85:D90)</f>
        <v>11774.13</v>
      </c>
      <c r="E91" s="131">
        <f>SUM(E85:E90)</f>
        <v>61836.32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10311.76</v>
      </c>
      <c r="E96" s="95">
        <f>'DOE25'!H179</f>
        <v>0</v>
      </c>
      <c r="F96" s="95">
        <f>'DOE25'!I179</f>
        <v>0</v>
      </c>
      <c r="G96" s="95">
        <f>'DOE25'!J179</f>
        <v>16078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10311.76</v>
      </c>
      <c r="E103" s="86">
        <f>SUM(E93:E102)</f>
        <v>0</v>
      </c>
      <c r="F103" s="86">
        <f>SUM(F93:F102)</f>
        <v>0</v>
      </c>
      <c r="G103" s="86">
        <f>SUM(G93:G102)</f>
        <v>16078</v>
      </c>
    </row>
    <row r="104" spans="1:7" ht="12.75" thickTop="1" thickBot="1" x14ac:dyDescent="0.25">
      <c r="A104" s="33" t="s">
        <v>765</v>
      </c>
      <c r="C104" s="86">
        <f>C63+C81+C91+C103</f>
        <v>903225.54</v>
      </c>
      <c r="D104" s="86">
        <f>D63+D81+D91+D103</f>
        <v>29816.800000000003</v>
      </c>
      <c r="E104" s="86">
        <f>E63+E81+E91+E103</f>
        <v>61836.32</v>
      </c>
      <c r="F104" s="86">
        <f>F63+F81+F91+F103</f>
        <v>0</v>
      </c>
      <c r="G104" s="86">
        <f>G63+G81+G103</f>
        <v>23422.1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486355.29999999993</v>
      </c>
      <c r="D109" s="24" t="s">
        <v>289</v>
      </c>
      <c r="E109" s="95">
        <f>('DOE25'!L276)+('DOE25'!L295)+('DOE25'!L314)</f>
        <v>45594.319999999992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49022.42</v>
      </c>
      <c r="D110" s="24" t="s">
        <v>289</v>
      </c>
      <c r="E110" s="95">
        <f>('DOE25'!L277)+('DOE25'!L296)+('DOE25'!L315)</f>
        <v>15242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6157.369999999999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541535.09</v>
      </c>
      <c r="D115" s="86">
        <f>SUM(D109:D114)</f>
        <v>0</v>
      </c>
      <c r="E115" s="86">
        <f>SUM(E109:E114)</f>
        <v>60836.319999999992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12761.49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5246.3099999999995</v>
      </c>
      <c r="D119" s="24" t="s">
        <v>289</v>
      </c>
      <c r="E119" s="95">
        <f>+('DOE25'!L282)+('DOE25'!L301)+('DOE25'!L320)</f>
        <v>1000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112028.45000000001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78219.48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51282.700000000004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49559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29816.799999999999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309097.43000000005</v>
      </c>
      <c r="D128" s="86">
        <f>SUM(D118:D127)</f>
        <v>29816.799999999999</v>
      </c>
      <c r="E128" s="86">
        <f>SUM(E118:E127)</f>
        <v>1000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4048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10311.76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23422.1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-7344.0999999999985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30437.760000000002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881070.28</v>
      </c>
      <c r="D145" s="86">
        <f>(D115+D128+D144)</f>
        <v>29816.799999999999</v>
      </c>
      <c r="E145" s="86">
        <f>(E115+E128+E144)</f>
        <v>61836.319999999992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STARK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19287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19287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531950</v>
      </c>
      <c r="D10" s="182">
        <f>ROUND((C10/$C$28)*100,1)</f>
        <v>56.9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64264</v>
      </c>
      <c r="D11" s="182">
        <f>ROUND((C11/$C$28)*100,1)</f>
        <v>6.9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6157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12761</v>
      </c>
      <c r="D15" s="182">
        <f t="shared" ref="D15:D27" si="0">ROUND((C15/$C$28)*100,1)</f>
        <v>1.4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6246</v>
      </c>
      <c r="D16" s="182">
        <f t="shared" si="0"/>
        <v>0.7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112028</v>
      </c>
      <c r="D17" s="182">
        <f t="shared" si="0"/>
        <v>12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78219</v>
      </c>
      <c r="D18" s="182">
        <f t="shared" si="0"/>
        <v>8.4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51283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49559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22278</v>
      </c>
      <c r="D27" s="182">
        <f t="shared" si="0"/>
        <v>2.4</v>
      </c>
    </row>
    <row r="28" spans="1:4" x14ac:dyDescent="0.2">
      <c r="B28" s="187" t="s">
        <v>723</v>
      </c>
      <c r="C28" s="180">
        <f>SUM(C10:C27)</f>
        <v>934745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4048</v>
      </c>
    </row>
    <row r="30" spans="1:4" x14ac:dyDescent="0.2">
      <c r="B30" s="187" t="s">
        <v>729</v>
      </c>
      <c r="C30" s="180">
        <f>SUM(C28:C29)</f>
        <v>938793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496275</v>
      </c>
      <c r="D35" s="182">
        <f t="shared" ref="D35:D40" si="1">ROUND((C35/$C$41)*100,1)</f>
        <v>50.4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9562.609999999986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380105</v>
      </c>
      <c r="D37" s="182">
        <f t="shared" si="1"/>
        <v>38.6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192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98237</v>
      </c>
      <c r="D39" s="182">
        <f t="shared" si="1"/>
        <v>10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984371.61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STARK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2016-08-12T11:58:21Z</cp:lastPrinted>
  <dcterms:created xsi:type="dcterms:W3CDTF">1997-12-04T19:04:30Z</dcterms:created>
  <dcterms:modified xsi:type="dcterms:W3CDTF">2016-08-12T12:02:24Z</dcterms:modified>
</cp:coreProperties>
</file>