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900" yWindow="-90" windowWidth="12735" windowHeight="6600" tabRatio="855" activeTab="2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37" i="12" l="1"/>
  <c r="C10" i="12"/>
  <c r="B10" i="12"/>
  <c r="B12" i="12"/>
  <c r="H604" i="1"/>
  <c r="I276" i="1"/>
  <c r="F472" i="1"/>
  <c r="F468" i="1"/>
  <c r="F12" i="1"/>
  <c r="H22" i="1"/>
  <c r="F13" i="1"/>
  <c r="H526" i="1"/>
  <c r="I281" i="1"/>
  <c r="H282" i="1"/>
  <c r="H244" i="1"/>
  <c r="H240" i="1"/>
  <c r="H208" i="1"/>
  <c r="H207" i="1"/>
  <c r="H205" i="1"/>
  <c r="H204" i="1"/>
  <c r="K203" i="1"/>
  <c r="H203" i="1"/>
  <c r="H202" i="1"/>
  <c r="I197" i="1"/>
  <c r="H197" i="1"/>
  <c r="F50" i="1" l="1"/>
  <c r="F29" i="1"/>
  <c r="F9" i="1"/>
  <c r="H358" i="1"/>
  <c r="G48" i="1"/>
  <c r="G24" i="1"/>
  <c r="H155" i="1"/>
  <c r="H29" i="1"/>
  <c r="H28" i="1"/>
  <c r="G502" i="1"/>
  <c r="G499" i="1"/>
  <c r="F502" i="1"/>
  <c r="F499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E8" i="13" s="1"/>
  <c r="C8" i="13" s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C110" i="2" s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C123" i="2" s="1"/>
  <c r="L225" i="1"/>
  <c r="L243" i="1"/>
  <c r="F15" i="13"/>
  <c r="G15" i="13"/>
  <c r="L208" i="1"/>
  <c r="C124" i="2" s="1"/>
  <c r="L226" i="1"/>
  <c r="L244" i="1"/>
  <c r="H662" i="1" s="1"/>
  <c r="F17" i="13"/>
  <c r="G17" i="13"/>
  <c r="L251" i="1"/>
  <c r="F18" i="13"/>
  <c r="G18" i="13"/>
  <c r="L252" i="1"/>
  <c r="F19" i="13"/>
  <c r="G19" i="13"/>
  <c r="L253" i="1"/>
  <c r="F29" i="13"/>
  <c r="G29" i="13"/>
  <c r="L358" i="1"/>
  <c r="F661" i="1" s="1"/>
  <c r="L359" i="1"/>
  <c r="L360" i="1"/>
  <c r="I367" i="1"/>
  <c r="J290" i="1"/>
  <c r="J309" i="1"/>
  <c r="J328" i="1"/>
  <c r="K290" i="1"/>
  <c r="K309" i="1"/>
  <c r="K328" i="1"/>
  <c r="L276" i="1"/>
  <c r="E109" i="2" s="1"/>
  <c r="L277" i="1"/>
  <c r="L278" i="1"/>
  <c r="L279" i="1"/>
  <c r="C13" i="10" s="1"/>
  <c r="L281" i="1"/>
  <c r="L282" i="1"/>
  <c r="E119" i="2" s="1"/>
  <c r="L283" i="1"/>
  <c r="L284" i="1"/>
  <c r="L285" i="1"/>
  <c r="E122" i="2" s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C131" i="2" s="1"/>
  <c r="L261" i="1"/>
  <c r="C25" i="10" s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2" i="10"/>
  <c r="L250" i="1"/>
  <c r="L332" i="1"/>
  <c r="L254" i="1"/>
  <c r="L268" i="1"/>
  <c r="L269" i="1"/>
  <c r="L349" i="1"/>
  <c r="L350" i="1"/>
  <c r="I665" i="1"/>
  <c r="I670" i="1"/>
  <c r="L229" i="1"/>
  <c r="G662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K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70" i="2" s="1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C111" i="2"/>
  <c r="E111" i="2"/>
  <c r="C112" i="2"/>
  <c r="C113" i="2"/>
  <c r="E113" i="2"/>
  <c r="C114" i="2"/>
  <c r="E114" i="2"/>
  <c r="D115" i="2"/>
  <c r="F115" i="2"/>
  <c r="G115" i="2"/>
  <c r="E118" i="2"/>
  <c r="E120" i="2"/>
  <c r="C121" i="2"/>
  <c r="E121" i="2"/>
  <c r="C122" i="2"/>
  <c r="E123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I19" i="1"/>
  <c r="F32" i="1"/>
  <c r="F52" i="1" s="1"/>
  <c r="H617" i="1" s="1"/>
  <c r="G32" i="1"/>
  <c r="G52" i="1" s="1"/>
  <c r="H618" i="1" s="1"/>
  <c r="H32" i="1"/>
  <c r="I32" i="1"/>
  <c r="H51" i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F192" i="1" s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F338" i="1" s="1"/>
  <c r="F352" i="1" s="1"/>
  <c r="G290" i="1"/>
  <c r="G338" i="1" s="1"/>
  <c r="G352" i="1" s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7" i="1" s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G642" i="1" s="1"/>
  <c r="F452" i="1"/>
  <c r="G452" i="1"/>
  <c r="H452" i="1"/>
  <c r="I452" i="1"/>
  <c r="F460" i="1"/>
  <c r="G460" i="1"/>
  <c r="G461" i="1" s="1"/>
  <c r="H640" i="1" s="1"/>
  <c r="H460" i="1"/>
  <c r="I460" i="1"/>
  <c r="I461" i="1" s="1"/>
  <c r="H642" i="1" s="1"/>
  <c r="F461" i="1"/>
  <c r="H461" i="1"/>
  <c r="F470" i="1"/>
  <c r="G470" i="1"/>
  <c r="H470" i="1"/>
  <c r="I470" i="1"/>
  <c r="J470" i="1"/>
  <c r="F474" i="1"/>
  <c r="F476" i="1" s="1"/>
  <c r="H622" i="1" s="1"/>
  <c r="G474" i="1"/>
  <c r="H474" i="1"/>
  <c r="I474" i="1"/>
  <c r="J474" i="1"/>
  <c r="J476" i="1" s="1"/>
  <c r="H626" i="1" s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L614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H639" i="1"/>
  <c r="G640" i="1"/>
  <c r="G641" i="1"/>
  <c r="H641" i="1"/>
  <c r="G643" i="1"/>
  <c r="H643" i="1"/>
  <c r="G644" i="1"/>
  <c r="H644" i="1"/>
  <c r="G645" i="1"/>
  <c r="H645" i="1"/>
  <c r="G650" i="1"/>
  <c r="G651" i="1"/>
  <c r="G652" i="1"/>
  <c r="H652" i="1"/>
  <c r="G653" i="1"/>
  <c r="H653" i="1"/>
  <c r="G654" i="1"/>
  <c r="H654" i="1"/>
  <c r="H655" i="1"/>
  <c r="L256" i="1"/>
  <c r="G164" i="2"/>
  <c r="C18" i="2"/>
  <c r="C26" i="10"/>
  <c r="L328" i="1"/>
  <c r="L351" i="1"/>
  <c r="A31" i="12"/>
  <c r="A40" i="12"/>
  <c r="D12" i="13"/>
  <c r="C12" i="13" s="1"/>
  <c r="D62" i="2"/>
  <c r="D63" i="2" s="1"/>
  <c r="D18" i="13"/>
  <c r="C18" i="13" s="1"/>
  <c r="D7" i="13"/>
  <c r="C7" i="13" s="1"/>
  <c r="D17" i="13"/>
  <c r="C17" i="13" s="1"/>
  <c r="D6" i="13"/>
  <c r="C6" i="13" s="1"/>
  <c r="C91" i="2"/>
  <c r="F78" i="2"/>
  <c r="F81" i="2" s="1"/>
  <c r="D31" i="2"/>
  <c r="C78" i="2"/>
  <c r="D50" i="2"/>
  <c r="G157" i="2"/>
  <c r="F18" i="2"/>
  <c r="G161" i="2"/>
  <c r="G156" i="2"/>
  <c r="E103" i="2"/>
  <c r="D91" i="2"/>
  <c r="E62" i="2"/>
  <c r="E63" i="2" s="1"/>
  <c r="G62" i="2"/>
  <c r="D29" i="13"/>
  <c r="C29" i="13" s="1"/>
  <c r="D19" i="13"/>
  <c r="C19" i="13" s="1"/>
  <c r="D14" i="13"/>
  <c r="C14" i="13" s="1"/>
  <c r="E13" i="13"/>
  <c r="C13" i="13" s="1"/>
  <c r="E78" i="2"/>
  <c r="E81" i="2" s="1"/>
  <c r="H112" i="1"/>
  <c r="F112" i="1"/>
  <c r="J641" i="1"/>
  <c r="J639" i="1"/>
  <c r="J571" i="1"/>
  <c r="K571" i="1"/>
  <c r="L433" i="1"/>
  <c r="L419" i="1"/>
  <c r="D81" i="2"/>
  <c r="I169" i="1"/>
  <c r="H169" i="1"/>
  <c r="G552" i="1"/>
  <c r="J644" i="1"/>
  <c r="J643" i="1"/>
  <c r="H476" i="1"/>
  <c r="H624" i="1" s="1"/>
  <c r="J624" i="1" s="1"/>
  <c r="I476" i="1"/>
  <c r="H625" i="1" s="1"/>
  <c r="J625" i="1" s="1"/>
  <c r="F169" i="1"/>
  <c r="J140" i="1"/>
  <c r="F571" i="1"/>
  <c r="I552" i="1"/>
  <c r="K549" i="1"/>
  <c r="K550" i="1"/>
  <c r="G22" i="2"/>
  <c r="K545" i="1"/>
  <c r="J552" i="1"/>
  <c r="H552" i="1"/>
  <c r="C29" i="10"/>
  <c r="H140" i="1"/>
  <c r="L401" i="1"/>
  <c r="C139" i="2" s="1"/>
  <c r="L393" i="1"/>
  <c r="A13" i="12"/>
  <c r="F22" i="13"/>
  <c r="H571" i="1"/>
  <c r="L560" i="1"/>
  <c r="J545" i="1"/>
  <c r="H338" i="1"/>
  <c r="H352" i="1" s="1"/>
  <c r="G192" i="1"/>
  <c r="H192" i="1"/>
  <c r="C35" i="10"/>
  <c r="L309" i="1"/>
  <c r="D5" i="13"/>
  <c r="C5" i="13" s="1"/>
  <c r="E16" i="13"/>
  <c r="J655" i="1"/>
  <c r="J645" i="1"/>
  <c r="L570" i="1"/>
  <c r="I571" i="1"/>
  <c r="I545" i="1"/>
  <c r="J636" i="1"/>
  <c r="G36" i="2"/>
  <c r="L565" i="1"/>
  <c r="G545" i="1"/>
  <c r="H545" i="1"/>
  <c r="C22" i="13"/>
  <c r="C138" i="2"/>
  <c r="C16" i="13"/>
  <c r="J634" i="1" l="1"/>
  <c r="E31" i="2"/>
  <c r="J640" i="1"/>
  <c r="J651" i="1"/>
  <c r="K598" i="1"/>
  <c r="G647" i="1" s="1"/>
  <c r="F552" i="1"/>
  <c r="L524" i="1"/>
  <c r="L545" i="1" s="1"/>
  <c r="C19" i="10"/>
  <c r="C18" i="10"/>
  <c r="E128" i="2"/>
  <c r="C16" i="10"/>
  <c r="C15" i="10"/>
  <c r="E112" i="2"/>
  <c r="E115" i="2" s="1"/>
  <c r="L290" i="1"/>
  <c r="L338" i="1" s="1"/>
  <c r="L352" i="1" s="1"/>
  <c r="G633" i="1" s="1"/>
  <c r="J633" i="1" s="1"/>
  <c r="J257" i="1"/>
  <c r="J271" i="1" s="1"/>
  <c r="I257" i="1"/>
  <c r="I271" i="1" s="1"/>
  <c r="L247" i="1"/>
  <c r="H660" i="1" s="1"/>
  <c r="K257" i="1"/>
  <c r="K271" i="1" s="1"/>
  <c r="G257" i="1"/>
  <c r="G271" i="1" s="1"/>
  <c r="F257" i="1"/>
  <c r="F271" i="1" s="1"/>
  <c r="C17" i="10"/>
  <c r="C120" i="2"/>
  <c r="C11" i="10"/>
  <c r="C10" i="10"/>
  <c r="H257" i="1"/>
  <c r="H271" i="1" s="1"/>
  <c r="H25" i="13"/>
  <c r="C132" i="2"/>
  <c r="C32" i="10"/>
  <c r="C21" i="10"/>
  <c r="G649" i="1"/>
  <c r="J649" i="1" s="1"/>
  <c r="F662" i="1"/>
  <c r="I662" i="1" s="1"/>
  <c r="D15" i="13"/>
  <c r="C15" i="13" s="1"/>
  <c r="H647" i="1"/>
  <c r="C20" i="10"/>
  <c r="C119" i="2"/>
  <c r="C118" i="2"/>
  <c r="C109" i="2"/>
  <c r="C115" i="2" s="1"/>
  <c r="L211" i="1"/>
  <c r="C81" i="2"/>
  <c r="C62" i="2"/>
  <c r="C63" i="2" s="1"/>
  <c r="J622" i="1"/>
  <c r="J617" i="1"/>
  <c r="G476" i="1"/>
  <c r="H623" i="1" s="1"/>
  <c r="J623" i="1" s="1"/>
  <c r="G661" i="1"/>
  <c r="D145" i="2"/>
  <c r="L362" i="1"/>
  <c r="G635" i="1" s="1"/>
  <c r="J635" i="1" s="1"/>
  <c r="H661" i="1"/>
  <c r="I661" i="1" s="1"/>
  <c r="D18" i="2"/>
  <c r="H52" i="1"/>
  <c r="H619" i="1" s="1"/>
  <c r="J619" i="1" s="1"/>
  <c r="K503" i="1"/>
  <c r="K500" i="1"/>
  <c r="K552" i="1"/>
  <c r="E33" i="13"/>
  <c r="D35" i="13" s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E104" i="2" s="1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42" i="2"/>
  <c r="J51" i="1"/>
  <c r="G16" i="2"/>
  <c r="J19" i="1"/>
  <c r="G621" i="1" s="1"/>
  <c r="G18" i="2"/>
  <c r="F545" i="1"/>
  <c r="H434" i="1"/>
  <c r="J620" i="1"/>
  <c r="D103" i="2"/>
  <c r="D104" i="2" s="1"/>
  <c r="I140" i="1"/>
  <c r="I193" i="1" s="1"/>
  <c r="G630" i="1" s="1"/>
  <c r="J630" i="1" s="1"/>
  <c r="A22" i="12"/>
  <c r="H646" i="1"/>
  <c r="G50" i="2"/>
  <c r="G51" i="2" s="1"/>
  <c r="H648" i="1"/>
  <c r="J648" i="1" s="1"/>
  <c r="J652" i="1"/>
  <c r="J642" i="1"/>
  <c r="G571" i="1"/>
  <c r="I434" i="1"/>
  <c r="G434" i="1"/>
  <c r="I663" i="1"/>
  <c r="J647" i="1" l="1"/>
  <c r="E145" i="2"/>
  <c r="D31" i="13"/>
  <c r="C31" i="13" s="1"/>
  <c r="F660" i="1"/>
  <c r="I660" i="1" s="1"/>
  <c r="I664" i="1" s="1"/>
  <c r="I672" i="1" s="1"/>
  <c r="C7" i="10" s="1"/>
  <c r="C25" i="13"/>
  <c r="H33" i="13"/>
  <c r="C128" i="2"/>
  <c r="C145" i="2" s="1"/>
  <c r="L257" i="1"/>
  <c r="L271" i="1" s="1"/>
  <c r="G632" i="1" s="1"/>
  <c r="J632" i="1" s="1"/>
  <c r="C104" i="2"/>
  <c r="C27" i="10"/>
  <c r="C28" i="10" s="1"/>
  <c r="D16" i="10" s="1"/>
  <c r="G672" i="1"/>
  <c r="C5" i="10" s="1"/>
  <c r="H664" i="1"/>
  <c r="C51" i="2"/>
  <c r="G631" i="1"/>
  <c r="J631" i="1" s="1"/>
  <c r="J646" i="1"/>
  <c r="G193" i="1"/>
  <c r="G628" i="1" s="1"/>
  <c r="J628" i="1" s="1"/>
  <c r="G626" i="1"/>
  <c r="J626" i="1" s="1"/>
  <c r="J52" i="1"/>
  <c r="H621" i="1" s="1"/>
  <c r="J621" i="1" s="1"/>
  <c r="C38" i="10"/>
  <c r="D33" i="13" l="1"/>
  <c r="D36" i="13" s="1"/>
  <c r="F664" i="1"/>
  <c r="F672" i="1" s="1"/>
  <c r="C4" i="10" s="1"/>
  <c r="D22" i="10"/>
  <c r="D20" i="10"/>
  <c r="D25" i="10"/>
  <c r="D12" i="10"/>
  <c r="D19" i="10"/>
  <c r="D18" i="10"/>
  <c r="D15" i="10"/>
  <c r="D11" i="10"/>
  <c r="D27" i="10"/>
  <c r="D17" i="10"/>
  <c r="D24" i="10"/>
  <c r="D10" i="10"/>
  <c r="C30" i="10"/>
  <c r="D23" i="10"/>
  <c r="D13" i="10"/>
  <c r="D21" i="10"/>
  <c r="D26" i="10"/>
  <c r="H667" i="1"/>
  <c r="H672" i="1"/>
  <c r="C6" i="10" s="1"/>
  <c r="I667" i="1"/>
  <c r="H656" i="1"/>
  <c r="C41" i="10"/>
  <c r="D38" i="10" s="1"/>
  <c r="F667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<sst xmlns="http://schemas.openxmlformats.org/spreadsheetml/2006/main" count="3962" uniqueCount="918">
  <si>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</si>
  <si>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</si>
  <si>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</si>
  <si>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</si>
  <si>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</si>
  <si>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</si>
  <si>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</si>
  <si>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</si>
  <si>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</si>
  <si>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</si>
  <si>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</si>
  <si>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</si>
  <si>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</si>
  <si>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</si>
  <si>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</si>
  <si>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</si>
  <si>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</si>
  <si>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</si>
  <si>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</si>
  <si>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</si>
  <si>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</si>
  <si>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</si>
  <si>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</si>
  <si>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</si>
  <si>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</si>
  <si>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</si>
  <si>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</si>
  <si>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</si>
  <si>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</si>
  <si>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</si>
  <si>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</si>
  <si>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</si>
  <si>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</si>
  <si>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</si>
  <si>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</si>
  <si>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</si>
  <si>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</si>
  <si>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</si>
  <si>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</si>
  <si>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</si>
  <si>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</si>
  <si>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</si>
  <si>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</si>
  <si>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</si>
  <si>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</si>
  <si>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</si>
  <si>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</si>
  <si>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</si>
  <si>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</si>
  <si>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</si>
  <si>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</si>
  <si>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</si>
  <si>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</si>
  <si>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</si>
  <si>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</si>
  <si>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</si>
  <si>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</si>
  <si>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</si>
  <si>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</si>
  <si>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</si>
  <si>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</si>
  <si>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</si>
  <si>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</si>
  <si>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</si>
  <si>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</si>
  <si>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</si>
  <si>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</si>
  <si>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</si>
  <si>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</si>
  <si>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</si>
  <si>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</si>
  <si>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</si>
  <si>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</si>
  <si>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</si>
  <si>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</si>
  <si>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</si>
  <si>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</si>
  <si>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</si>
  <si>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</si>
  <si>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</si>
  <si>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</si>
  <si>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</si>
  <si>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</si>
  <si>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</si>
  <si>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</si>
  <si>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</si>
  <si>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</si>
  <si>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</si>
  <si>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</si>
  <si>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</si>
  <si>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</si>
  <si>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</si>
  <si>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</si>
  <si>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</si>
  <si>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</si>
  <si>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</si>
  <si>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</si>
  <si>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</si>
  <si>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</si>
  <si>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</si>
  <si>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</si>
  <si>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</si>
  <si>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</si>
  <si>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</si>
  <si>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</si>
  <si>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</si>
  <si>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</si>
  <si>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</si>
  <si>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</si>
  <si>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</si>
  <si>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</si>
  <si>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</si>
  <si>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</si>
  <si>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</si>
  <si>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</si>
  <si>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</si>
  <si>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</si>
  <si>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</si>
  <si>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</si>
  <si>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</si>
  <si>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</si>
  <si>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</si>
  <si>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</si>
  <si>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</si>
  <si>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</si>
  <si>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</si>
  <si>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</si>
  <si>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</si>
  <si>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</si>
  <si>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</si>
  <si>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</si>
  <si>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</si>
  <si>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</si>
  <si>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</si>
  <si>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</si>
  <si>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</si>
  <si>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</si>
  <si>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</si>
  <si>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</si>
  <si>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</si>
  <si>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</si>
  <si>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</si>
  <si>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</si>
  <si>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</si>
  <si>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</si>
  <si>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</si>
  <si>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</si>
  <si>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</si>
  <si>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</si>
  <si>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</si>
  <si>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</si>
  <si>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</si>
  <si>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</si>
  <si>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</si>
  <si>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</si>
  <si>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</si>
  <si>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</si>
  <si>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</si>
  <si>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</si>
  <si>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</si>
  <si>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</si>
  <si>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</si>
  <si>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</si>
  <si>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</si>
  <si>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</si>
  <si>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</si>
  <si>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</si>
  <si>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</si>
  <si>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</si>
  <si>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</si>
  <si>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</si>
  <si>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</si>
  <si>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</si>
  <si>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</si>
  <si>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</si>
  <si>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</si>
  <si>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</si>
  <si>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</si>
  <si>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</si>
  <si>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</si>
  <si>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</si>
  <si>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</si>
  <si>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</si>
  <si>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</si>
  <si>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</si>
  <si>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</si>
  <si>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</si>
  <si>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</si>
  <si>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</si>
  <si>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</si>
  <si>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</si>
  <si>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</si>
  <si>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</si>
  <si>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</si>
  <si>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</si>
  <si>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</si>
  <si>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</si>
  <si>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</si>
  <si>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</si>
  <si>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</si>
  <si>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</si>
  <si>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</si>
  <si>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</si>
  <si>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</si>
  <si>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</si>
  <si>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</si>
  <si>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</si>
  <si>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</si>
  <si>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</si>
  <si>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</si>
  <si>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</si>
  <si>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</si>
  <si>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</si>
  <si>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</si>
  <si>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</si>
  <si>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</si>
  <si>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</si>
  <si>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</si>
  <si>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</si>
  <si>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</si>
  <si>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</si>
  <si>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</si>
  <si>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</si>
  <si>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</si>
  <si>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</si>
  <si>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</si>
  <si>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</si>
  <si>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</si>
  <si>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</si>
  <si>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</si>
  <si>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</si>
  <si>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</si>
  <si>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</si>
  <si>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</si>
  <si>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</si>
  <si>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</si>
  <si>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</si>
  <si>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</si>
  <si>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</si>
  <si>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</si>
  <si>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</si>
  <si>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</si>
  <si>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</si>
  <si>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</si>
  <si>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</si>
  <si>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</si>
  <si>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</si>
  <si>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</si>
  <si>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</si>
  <si>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</si>
  <si>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</si>
  <si>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</si>
  <si>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</si>
  <si>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</si>
  <si>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</si>
  <si>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</si>
  <si>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</si>
  <si>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</si>
  <si>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</si>
  <si>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</si>
  <si>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</si>
  <si>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</si>
  <si>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</si>
  <si>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</si>
  <si>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</si>
  <si>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</si>
  <si>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</si>
  <si>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</si>
  <si>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</si>
  <si>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</si>
  <si>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</si>
  <si>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</si>
  <si>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</si>
  <si>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</si>
  <si>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</si>
  <si>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</si>
  <si>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</si>
  <si>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</si>
  <si>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</si>
  <si>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</si>
  <si>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</si>
  <si>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</si>
  <si>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</si>
  <si>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</si>
  <si>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</si>
  <si>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</si>
  <si>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</si>
  <si>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</si>
  <si>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</si>
  <si>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</si>
  <si>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</si>
  <si>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</si>
  <si>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</si>
  <si>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</si>
  <si>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</si>
  <si>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</si>
  <si>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</si>
  <si>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</si>
  <si>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</si>
  <si>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</si>
  <si>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</si>
  <si>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</si>
  <si>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</si>
  <si>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</si>
  <si>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</si>
  <si>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</si>
  <si>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</si>
  <si>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</si>
  <si>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</si>
  <si>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</si>
  <si>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</si>
  <si>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</si>
  <si>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</si>
  <si>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</si>
  <si>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</si>
  <si>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</si>
  <si>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</si>
  <si>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</si>
  <si>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</si>
  <si>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</si>
  <si>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</si>
  <si>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</si>
  <si>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</si>
  <si>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</si>
  <si>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</si>
  <si>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</si>
  <si>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</si>
  <si>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</si>
  <si>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</si>
  <si>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</si>
  <si>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</si>
  <si>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</si>
  <si>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</si>
  <si>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</si>
  <si>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</si>
  <si>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</si>
  <si>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</si>
  <si>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</si>
  <si>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</si>
  <si>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</si>
  <si>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</si>
  <si>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</si>
  <si>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</si>
  <si>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</si>
  <si>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</si>
  <si>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</si>
  <si>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</si>
  <si>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</si>
  <si>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</si>
  <si>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</si>
  <si>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</si>
  <si>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</si>
  <si>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</si>
  <si>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</si>
  <si>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</si>
  <si>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</si>
  <si>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</si>
  <si>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</si>
  <si>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</si>
  <si>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</si>
  <si>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</si>
  <si>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</si>
  <si>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</si>
  <si>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</si>
  <si>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</si>
  <si>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</si>
  <si>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</si>
  <si>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</si>
  <si>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</si>
  <si>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</si>
  <si>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</si>
  <si>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</si>
  <si>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</si>
  <si>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</si>
  <si>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</si>
  <si>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</si>
  <si>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</si>
  <si>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</si>
  <si>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</si>
  <si>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</si>
  <si>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</si>
  <si>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</si>
  <si>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</si>
  <si>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</si>
  <si>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</si>
  <si>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</si>
  <si>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</si>
  <si>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</si>
  <si>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</si>
  <si>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</si>
  <si>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</si>
  <si>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</si>
  <si>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</si>
  <si>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</si>
  <si>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</si>
  <si>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</si>
  <si>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</si>
  <si>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</si>
  <si>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</si>
  <si>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</si>
  <si>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</si>
  <si>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</si>
  <si>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</si>
  <si>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</si>
  <si>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</si>
  <si>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</si>
  <si>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</si>
  <si>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</si>
  <si>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</si>
  <si>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</si>
  <si>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</si>
  <si>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</si>
  <si>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</si>
  <si>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</si>
  <si>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</si>
  <si>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</si>
  <si>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</si>
  <si>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</si>
  <si>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</si>
  <si>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</si>
  <si>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</si>
  <si>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</si>
  <si>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</si>
  <si>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</si>
  <si>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</si>
  <si>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</si>
  <si>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</si>
  <si>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</si>
  <si>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</si>
  <si>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</si>
  <si>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</si>
  <si>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</si>
  <si>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</si>
  <si>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</si>
  <si>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</si>
  <si>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</si>
  <si>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</si>
  <si>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</si>
  <si>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</si>
  <si>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</si>
  <si>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</si>
  <si>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</si>
  <si>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</si>
  <si>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</si>
  <si>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</si>
  <si>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</si>
  <si>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</si>
  <si>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</si>
  <si>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</si>
  <si>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</si>
  <si>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</si>
  <si>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</si>
  <si>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</si>
  <si>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</si>
  <si>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</si>
  <si>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</si>
  <si>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</si>
  <si>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</si>
  <si>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</si>
  <si>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</si>
  <si>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</si>
  <si>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</si>
  <si>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</si>
  <si>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</si>
  <si>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</si>
  <si>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</si>
  <si>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</si>
  <si>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</si>
  <si>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</si>
  <si>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</si>
  <si>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</si>
  <si>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</si>
  <si>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</si>
  <si>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</si>
  <si>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</si>
  <si>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</si>
  <si>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</si>
  <si>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</si>
  <si>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</si>
  <si>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</si>
  <si>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</si>
  <si>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</si>
  <si>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</si>
  <si>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</si>
  <si>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</si>
  <si>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</si>
  <si>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</si>
  <si>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</si>
  <si>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</si>
  <si>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</si>
  <si>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</si>
  <si>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</si>
  <si>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</si>
  <si>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</si>
  <si>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</si>
  <si>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</si>
  <si>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</si>
  <si>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</si>
  <si>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</si>
  <si>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</si>
  <si>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</si>
  <si>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</si>
  <si>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</si>
  <si>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</si>
  <si>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</si>
  <si>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</si>
  <si>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</si>
  <si>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</si>
  <si>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</si>
  <si>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</si>
  <si>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</si>
  <si>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</si>
  <si>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</si>
  <si>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</si>
  <si>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</si>
  <si>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</si>
  <si>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</si>
  <si>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</si>
  <si>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</si>
  <si>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</si>
  <si>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</si>
  <si>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</si>
  <si>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</si>
  <si>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</si>
  <si>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</si>
  <si>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</si>
  <si>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</si>
  <si>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</si>
  <si>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</si>
  <si>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</si>
  <si>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</si>
  <si>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</si>
  <si>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</si>
  <si>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</si>
  <si>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</si>
  <si>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</si>
  <si>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</si>
  <si>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</si>
  <si>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</si>
  <si>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</si>
  <si>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</si>
  <si>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</si>
  <si>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</si>
  <si>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</si>
  <si>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</si>
  <si>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</si>
  <si>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</si>
  <si>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</si>
  <si>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</si>
  <si>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</si>
  <si>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</si>
  <si>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</si>
  <si>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</si>
  <si>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</si>
  <si>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</si>
  <si>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</si>
  <si>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</si>
  <si>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</si>
  <si>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</si>
  <si>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</si>
  <si>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</si>
  <si>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</si>
  <si>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</si>
  <si>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</si>
  <si>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</si>
  <si>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</si>
  <si>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</si>
  <si>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</si>
  <si>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</si>
  <si>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</si>
  <si>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</si>
  <si>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</si>
  <si>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</si>
  <si>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</si>
  <si>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</si>
  <si>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</si>
  <si>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</si>
  <si>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</si>
  <si>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</si>
  <si>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</si>
  <si>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</si>
  <si>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</si>
  <si>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</si>
  <si>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</si>
  <si>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</si>
  <si>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</si>
  <si>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</si>
  <si>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</si>
  <si>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</si>
  <si>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</si>
  <si>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</si>
  <si>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</si>
  <si>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</si>
  <si>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</si>
  <si>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</si>
  <si>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</si>
  <si>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</si>
  <si>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</si>
  <si>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</si>
  <si>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</si>
  <si>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</si>
  <si>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</si>
  <si>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</si>
  <si>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</si>
  <si>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</si>
  <si>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</si>
  <si>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</si>
  <si>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</si>
  <si>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</si>
  <si>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</si>
  <si>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</si>
  <si>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</si>
  <si>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</si>
  <si>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</si>
  <si>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</si>
  <si>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</si>
  <si>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</si>
  <si>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</si>
  <si>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</si>
  <si>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</si>
  <si>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</si>
  <si>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</si>
  <si>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</si>
  <si>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</si>
  <si>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</si>
  <si>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</si>
  <si>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</si>
  <si>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</si>
  <si>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</si>
  <si>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</si>
  <si>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</si>
  <si>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</si>
  <si>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</si>
  <si>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</si>
  <si>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</si>
  <si>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</si>
  <si>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</si>
  <si>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</si>
  <si>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</si>
  <si>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</si>
  <si>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</si>
  <si>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</si>
  <si>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</si>
  <si>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</si>
  <si>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</si>
  <si>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</si>
  <si>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</si>
  <si>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</si>
  <si>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</si>
  <si>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</si>
  <si>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</si>
  <si>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</si>
  <si>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</si>
  <si>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</si>
  <si>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</si>
  <si>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</si>
  <si>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</si>
  <si>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</si>
  <si>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</si>
  <si>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</si>
  <si>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</si>
  <si>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</si>
  <si>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</si>
  <si>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</si>
  <si>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</si>
  <si>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</si>
  <si>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</si>
  <si>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</si>
  <si>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</si>
  <si>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</si>
  <si>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</si>
  <si>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</si>
  <si>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</si>
  <si>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</si>
  <si>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</si>
  <si>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</si>
  <si>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</si>
  <si>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</si>
  <si>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</si>
  <si>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</si>
  <si>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</si>
  <si>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</si>
  <si>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</si>
  <si>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</si>
  <si>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</si>
  <si>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</si>
  <si>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</si>
  <si>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</si>
  <si>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</si>
  <si>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</si>
  <si>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</si>
  <si>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</si>
  <si>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</si>
  <si>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</si>
  <si>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</si>
  <si>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</si>
  <si>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</si>
  <si>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</si>
  <si>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</si>
  <si>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</si>
  <si>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</si>
  <si>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</si>
  <si>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</si>
  <si>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</si>
  <si>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</si>
  <si>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</si>
  <si>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</si>
  <si>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</si>
  <si>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</si>
  <si>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</si>
  <si>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</si>
  <si>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</si>
  <si>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</si>
  <si>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</si>
  <si>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</si>
  <si>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</si>
  <si>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</si>
  <si>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</si>
  <si>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</si>
  <si>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</si>
  <si>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</si>
  <si>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</si>
  <si>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</si>
  <si>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</si>
  <si>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</si>
  <si>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</si>
  <si>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</si>
  <si>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</si>
  <si>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</si>
  <si>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</si>
  <si>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</si>
  <si>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</si>
  <si>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</si>
  <si>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</si>
  <si>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</si>
  <si>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</si>
  <si>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</si>
  <si>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</si>
  <si>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</si>
  <si>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</si>
  <si>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</si>
  <si>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</si>
  <si>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</si>
  <si>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</si>
  <si>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</si>
  <si>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</si>
  <si>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</si>
  <si>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</si>
  <si>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</si>
  <si>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</si>
  <si>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</si>
  <si>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</si>
  <si>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</si>
  <si>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</si>
  <si>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</si>
  <si>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</si>
  <si>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</si>
  <si>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</si>
  <si>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</si>
  <si>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</si>
  <si>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</si>
  <si>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</si>
  <si>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</si>
  <si>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</si>
  <si>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</si>
  <si>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</si>
  <si>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</si>
  <si>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</si>
  <si>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</si>
  <si>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</si>
  <si>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</si>
  <si>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</si>
  <si>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</si>
  <si>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</si>
  <si>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</si>
  <si>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</si>
  <si>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</si>
  <si>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</si>
  <si>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</si>
  <si>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</si>
  <si>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</si>
  <si>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</si>
  <si>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</si>
  <si>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</si>
  <si>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</si>
  <si>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</si>
  <si>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</si>
  <si>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</si>
  <si>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</si>
  <si>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</si>
  <si>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</si>
  <si>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</si>
  <si>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</si>
  <si>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</si>
  <si>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</si>
  <si>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</si>
  <si>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</si>
  <si>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</si>
  <si>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</si>
  <si>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</si>
  <si>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</si>
  <si>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</si>
  <si>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</si>
  <si>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</si>
  <si>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</si>
  <si>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</si>
  <si>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</si>
  <si>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</si>
  <si>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</si>
  <si>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</si>
  <si>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</si>
  <si>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</si>
  <si>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</si>
  <si>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</si>
  <si>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</si>
  <si>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</si>
  <si>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</si>
  <si>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</si>
  <si>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</si>
  <si>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</si>
  <si>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</si>
  <si>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</si>
  <si>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</si>
  <si>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</si>
  <si>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</si>
  <si>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</si>
  <si>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</si>
  <si>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</si>
  <si>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</si>
  <si>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</si>
  <si>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</si>
  <si>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</si>
  <si>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</si>
  <si>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</si>
  <si>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</si>
  <si>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</si>
  <si>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</si>
  <si>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</si>
  <si>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</si>
  <si>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</si>
  <si>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</si>
  <si>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</si>
  <si>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</si>
  <si>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</si>
  <si>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</si>
  <si>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</si>
  <si>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</si>
  <si>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</si>
  <si>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</si>
  <si>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</si>
  <si>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</si>
  <si>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</si>
  <si>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</si>
  <si>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</si>
  <si>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</si>
  <si>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</si>
  <si>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</si>
  <si>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</si>
  <si>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</si>
  <si>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</si>
  <si>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</si>
  <si>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</si>
  <si>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</si>
  <si>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</si>
  <si>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</si>
  <si>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</si>
  <si>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</si>
  <si>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</si>
  <si>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</si>
  <si>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</si>
  <si>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</si>
  <si>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</si>
  <si>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</si>
  <si>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</si>
  <si>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</si>
  <si>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</si>
  <si>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</si>
  <si>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</si>
  <si>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</si>
  <si>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</si>
  <si>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</si>
  <si>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</si>
  <si>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</si>
  <si>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</si>
  <si>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</si>
  <si>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</si>
  <si>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</si>
  <si>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</si>
  <si>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</si>
  <si>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</si>
  <si>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</si>
  <si>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</si>
  <si>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</si>
  <si>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</si>
  <si>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</si>
  <si>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</si>
  <si>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</si>
  <si>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</si>
  <si>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</si>
  <si>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</si>
  <si>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</si>
  <si>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</si>
  <si>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</si>
  <si>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</si>
  <si>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</si>
  <si>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</si>
  <si>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</si>
  <si>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</si>
  <si>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</si>
  <si>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</si>
  <si>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</si>
  <si>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</si>
  <si>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Stewartstown School District</t>
  </si>
  <si>
    <t>08/1997</t>
  </si>
  <si>
    <t>08/2017</t>
  </si>
  <si>
    <t>.</t>
  </si>
  <si>
    <t>posted 3100 general fund to 2190</t>
  </si>
  <si>
    <t>NFR moved deferred to general fund 5805.31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</si>
</sst>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zoomScale="130" zoomScaleNormal="130" workbookViewId="0">
      <pane xSplit="5" ySplit="3" topLeftCell="H410" activePane="bottomRight" state="frozen"/>
      <selection pane="topRight" activeCell="F1" sqref="F1"/>
      <selection pane="bottomLeft" activeCell="A4" sqref="A4"/>
      <selection pane="bottomRight" activeCell="H422" sqref="H422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501</v>
      </c>
      <c r="C2" s="21">
        <v>501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102412.55+35396.21</f>
        <v>137808.76</v>
      </c>
      <c r="G9" s="18">
        <v>7497.94</v>
      </c>
      <c r="H9" s="18"/>
      <c r="I9" s="18"/>
      <c r="J9" s="67">
        <f>SUM(I439)</f>
        <v>205944.32000000001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f>78197.7+5805.31</f>
        <v>84003.01</v>
      </c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f>40257.45</f>
        <v>40257.449999999997</v>
      </c>
      <c r="G13" s="18">
        <v>978.88</v>
      </c>
      <c r="H13" s="18">
        <v>118788.8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31.55</v>
      </c>
      <c r="G14" s="18">
        <v>21.3</v>
      </c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1628.85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262100.77000000002</v>
      </c>
      <c r="G19" s="41">
        <f>SUM(G9:G18)</f>
        <v>10126.969999999999</v>
      </c>
      <c r="H19" s="41">
        <f>SUM(H9:H18)</f>
        <v>118788.8</v>
      </c>
      <c r="I19" s="41">
        <f>SUM(I9:I18)</f>
        <v>0</v>
      </c>
      <c r="J19" s="41">
        <f>SUM(J9:J18)</f>
        <v>205944.32000000001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f>29345.47+3750+4112.62+9650.76+4210.04+32337.64+596.48</f>
        <v>84003.01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78645.91</v>
      </c>
      <c r="G24" s="18">
        <f>4800.78+314.41</f>
        <v>5115.1899999999996</v>
      </c>
      <c r="H24" s="18">
        <v>21952.58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 t="s">
        <v>915</v>
      </c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1613.58</v>
      </c>
      <c r="G28" s="18"/>
      <c r="H28" s="18">
        <f>2006+1800+7084.85</f>
        <v>10890.85</v>
      </c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116.74+4253.68</f>
        <v>4370.42</v>
      </c>
      <c r="G29" s="18"/>
      <c r="H29" s="18">
        <f>153.49+314.33+137.7+282.06+541.97+512.81</f>
        <v>1942.36</v>
      </c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5805.31</v>
      </c>
      <c r="G30" s="18"/>
      <c r="H30" s="18">
        <v>0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90435.22</v>
      </c>
      <c r="G32" s="41">
        <f>SUM(G22:G31)</f>
        <v>5115.1899999999996</v>
      </c>
      <c r="H32" s="41">
        <f>SUM(H22:H31)</f>
        <v>118788.8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1628.85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5000</v>
      </c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v>34533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>
        <f>4538.12+55998.66-57153.85</f>
        <v>3382.9300000000076</v>
      </c>
      <c r="H48" s="18"/>
      <c r="I48" s="18"/>
      <c r="J48" s="13">
        <f>SUM(I459)</f>
        <v>205944.32000000001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195935.41+2020859.28-2083934.87+4149.27-3101.54-1775</f>
        <v>132132.54999999981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171665.54999999981</v>
      </c>
      <c r="G51" s="41">
        <f>SUM(G35:G50)</f>
        <v>5011.7800000000079</v>
      </c>
      <c r="H51" s="41">
        <f>SUM(H35:H50)</f>
        <v>0</v>
      </c>
      <c r="I51" s="41">
        <f>SUM(I35:I50)</f>
        <v>0</v>
      </c>
      <c r="J51" s="41">
        <f>SUM(J35:J50)</f>
        <v>205944.32000000001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262100.76999999981</v>
      </c>
      <c r="G52" s="41">
        <f>G51+G32</f>
        <v>10126.970000000008</v>
      </c>
      <c r="H52" s="41">
        <f>H51+H32</f>
        <v>118788.8</v>
      </c>
      <c r="I52" s="41">
        <f>I51+I32</f>
        <v>0</v>
      </c>
      <c r="J52" s="41">
        <f>J51+J32</f>
        <v>205944.32000000001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1209100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1209100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301.31</v>
      </c>
      <c r="G96" s="18"/>
      <c r="H96" s="18"/>
      <c r="I96" s="18"/>
      <c r="J96" s="18"/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12878.75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16761.240000000002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1314.9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18377.450000000004</v>
      </c>
      <c r="G111" s="41">
        <f>SUM(G96:G110)</f>
        <v>12878.75</v>
      </c>
      <c r="H111" s="41">
        <f>SUM(H96:H110)</f>
        <v>0</v>
      </c>
      <c r="I111" s="41">
        <f>SUM(I96:I110)</f>
        <v>0</v>
      </c>
      <c r="J111" s="41">
        <f>SUM(J96:J110)</f>
        <v>0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1227477.45</v>
      </c>
      <c r="G112" s="41">
        <f>G60+G111</f>
        <v>12878.75</v>
      </c>
      <c r="H112" s="41">
        <f>H60+H79+H94+H111</f>
        <v>0</v>
      </c>
      <c r="I112" s="41">
        <f>I60+I111</f>
        <v>0</v>
      </c>
      <c r="J112" s="41">
        <f>J60+J111</f>
        <v>0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553787.91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172203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725990.91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14086.26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727.56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14086.26</v>
      </c>
      <c r="G136" s="41">
        <f>SUM(G123:G135)</f>
        <v>727.56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740077.17</v>
      </c>
      <c r="G140" s="41">
        <f>G121+SUM(G136:G137)</f>
        <v>727.56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255472.08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8795.34+14022.06</f>
        <v>22817.4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32992.35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4254.66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>
        <v>3833.06</v>
      </c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4254.66</v>
      </c>
      <c r="G162" s="41">
        <f>SUM(G150:G161)</f>
        <v>32992.35</v>
      </c>
      <c r="H162" s="41">
        <f>SUM(H150:H161)</f>
        <v>282122.53999999998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3836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>
        <v>0</v>
      </c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8090.66</v>
      </c>
      <c r="G169" s="41">
        <f>G147+G162+SUM(G163:G168)</f>
        <v>32992.35</v>
      </c>
      <c r="H169" s="41">
        <f>H147+H162+SUM(H163:H168)</f>
        <v>282122.53999999998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9400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9400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>
        <v>49050</v>
      </c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49050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49050</v>
      </c>
      <c r="G192" s="41">
        <f>G183+SUM(G188:G191)</f>
        <v>9400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2024695.28</v>
      </c>
      <c r="G193" s="47">
        <f>G112+G140+G169+G192</f>
        <v>55998.659999999996</v>
      </c>
      <c r="H193" s="47">
        <f>H112+H140+H169+H192</f>
        <v>282122.53999999998</v>
      </c>
      <c r="I193" s="47">
        <f>I112+I140+I169+I192</f>
        <v>0</v>
      </c>
      <c r="J193" s="47">
        <f>J112+J140+J192</f>
        <v>0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260938.55</v>
      </c>
      <c r="G197" s="18">
        <v>167210.84</v>
      </c>
      <c r="H197" s="18">
        <f>20858.78+1644.54+4384.8</f>
        <v>26888.12</v>
      </c>
      <c r="I197" s="18">
        <f>3836+15917.19</f>
        <v>19753.190000000002</v>
      </c>
      <c r="J197" s="18">
        <v>3389.83</v>
      </c>
      <c r="K197" s="18">
        <v>162.62</v>
      </c>
      <c r="L197" s="19">
        <f>SUM(F197:K197)</f>
        <v>478343.15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127818.65</v>
      </c>
      <c r="G198" s="18">
        <v>24969.87</v>
      </c>
      <c r="H198" s="18"/>
      <c r="I198" s="18">
        <v>323.82</v>
      </c>
      <c r="J198" s="18"/>
      <c r="K198" s="18"/>
      <c r="L198" s="19">
        <f>SUM(F198:K198)</f>
        <v>153112.34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13615.53</v>
      </c>
      <c r="G202" s="18">
        <v>1041.5899999999999</v>
      </c>
      <c r="H202" s="18">
        <f>192086.78+1359.8+43.5</f>
        <v>193490.08</v>
      </c>
      <c r="I202" s="18">
        <v>4018.45</v>
      </c>
      <c r="J202" s="18">
        <v>6285.71</v>
      </c>
      <c r="K202" s="18">
        <v>1255.6300000000001</v>
      </c>
      <c r="L202" s="19">
        <f t="shared" ref="L202:L208" si="0">SUM(F202:K202)</f>
        <v>219706.99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25023.7</v>
      </c>
      <c r="G203" s="18">
        <v>1914.32</v>
      </c>
      <c r="H203" s="18">
        <f>1616.5+106.1</f>
        <v>1722.6</v>
      </c>
      <c r="I203" s="18">
        <v>2260.48</v>
      </c>
      <c r="J203" s="18"/>
      <c r="K203" s="18">
        <f>2758+1450</f>
        <v>4208</v>
      </c>
      <c r="L203" s="19">
        <f t="shared" si="0"/>
        <v>35129.1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1815</v>
      </c>
      <c r="G204" s="18">
        <v>138.86000000000001</v>
      </c>
      <c r="H204" s="18">
        <f>82801.08+4527.38</f>
        <v>87328.46</v>
      </c>
      <c r="I204" s="18">
        <v>279.14999999999998</v>
      </c>
      <c r="J204" s="18"/>
      <c r="K204" s="18">
        <v>2570.29</v>
      </c>
      <c r="L204" s="19">
        <f t="shared" si="0"/>
        <v>92131.76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71973.87</v>
      </c>
      <c r="G205" s="18">
        <v>42947.86</v>
      </c>
      <c r="H205" s="18">
        <f>1373.42+3149.38+85</f>
        <v>4607.8</v>
      </c>
      <c r="I205" s="18">
        <v>1188.21</v>
      </c>
      <c r="J205" s="18">
        <v>806.13</v>
      </c>
      <c r="K205" s="18">
        <v>959.1</v>
      </c>
      <c r="L205" s="19">
        <f t="shared" si="0"/>
        <v>122482.97000000002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27774.06</v>
      </c>
      <c r="G207" s="18">
        <v>16793.88</v>
      </c>
      <c r="H207" s="18">
        <f>102014.44+33936.73+4817</f>
        <v>140768.17000000001</v>
      </c>
      <c r="I207" s="18">
        <v>33499.86</v>
      </c>
      <c r="J207" s="18">
        <v>6749.06</v>
      </c>
      <c r="K207" s="18">
        <v>2338</v>
      </c>
      <c r="L207" s="19">
        <f t="shared" si="0"/>
        <v>227923.03000000003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31949.8</v>
      </c>
      <c r="G208" s="18">
        <v>2972.35</v>
      </c>
      <c r="H208" s="18">
        <f>12477.12+1779.09</f>
        <v>14256.210000000001</v>
      </c>
      <c r="I208" s="18">
        <v>9962.3799999999992</v>
      </c>
      <c r="J208" s="18">
        <v>37350</v>
      </c>
      <c r="K208" s="18">
        <v>293.25</v>
      </c>
      <c r="L208" s="19">
        <f t="shared" si="0"/>
        <v>96783.989999999991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560909.16</v>
      </c>
      <c r="G211" s="41">
        <f t="shared" si="1"/>
        <v>257989.56999999998</v>
      </c>
      <c r="H211" s="41">
        <f t="shared" si="1"/>
        <v>469061.44</v>
      </c>
      <c r="I211" s="41">
        <f t="shared" si="1"/>
        <v>71285.540000000008</v>
      </c>
      <c r="J211" s="41">
        <f t="shared" si="1"/>
        <v>54580.729999999996</v>
      </c>
      <c r="K211" s="41">
        <f t="shared" si="1"/>
        <v>11786.890000000001</v>
      </c>
      <c r="L211" s="41">
        <f t="shared" si="1"/>
        <v>1425613.33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509755</v>
      </c>
      <c r="I233" s="18"/>
      <c r="J233" s="18"/>
      <c r="K233" s="18"/>
      <c r="L233" s="19">
        <f>SUM(F233:K233)</f>
        <v>509755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v>20084.95</v>
      </c>
      <c r="I234" s="18"/>
      <c r="J234" s="18"/>
      <c r="K234" s="18"/>
      <c r="L234" s="19">
        <f>SUM(F234:K234)</f>
        <v>20084.95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1210</v>
      </c>
      <c r="G240" s="18">
        <v>92.58</v>
      </c>
      <c r="H240" s="18">
        <f>29139.35+1655.5</f>
        <v>30794.85</v>
      </c>
      <c r="I240" s="18"/>
      <c r="J240" s="18"/>
      <c r="K240" s="18">
        <v>802.47</v>
      </c>
      <c r="L240" s="19">
        <f t="shared" si="4"/>
        <v>32899.9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v>10245.09</v>
      </c>
      <c r="G244" s="18">
        <v>904.58</v>
      </c>
      <c r="H244" s="18">
        <f>4181.27+854.96</f>
        <v>5036.2300000000005</v>
      </c>
      <c r="I244" s="18">
        <v>3662.94</v>
      </c>
      <c r="J244" s="18">
        <v>12450</v>
      </c>
      <c r="K244" s="18">
        <v>36.75</v>
      </c>
      <c r="L244" s="19">
        <f t="shared" si="4"/>
        <v>32335.59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11455.09</v>
      </c>
      <c r="G247" s="41">
        <f t="shared" si="5"/>
        <v>997.16000000000008</v>
      </c>
      <c r="H247" s="41">
        <f t="shared" si="5"/>
        <v>565671.02999999991</v>
      </c>
      <c r="I247" s="41">
        <f t="shared" si="5"/>
        <v>3662.94</v>
      </c>
      <c r="J247" s="41">
        <f t="shared" si="5"/>
        <v>12450</v>
      </c>
      <c r="K247" s="41">
        <f t="shared" si="5"/>
        <v>839.22</v>
      </c>
      <c r="L247" s="41">
        <f t="shared" si="5"/>
        <v>595075.43999999994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572364.25</v>
      </c>
      <c r="G257" s="41">
        <f t="shared" si="8"/>
        <v>258986.72999999998</v>
      </c>
      <c r="H257" s="41">
        <f t="shared" si="8"/>
        <v>1034732.47</v>
      </c>
      <c r="I257" s="41">
        <f t="shared" si="8"/>
        <v>74948.48000000001</v>
      </c>
      <c r="J257" s="41">
        <f t="shared" si="8"/>
        <v>67030.73</v>
      </c>
      <c r="K257" s="41">
        <f t="shared" si="8"/>
        <v>12626.11</v>
      </c>
      <c r="L257" s="41">
        <f t="shared" si="8"/>
        <v>2020688.77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45000</v>
      </c>
      <c r="L260" s="19">
        <f>SUM(F260:K260)</f>
        <v>45000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5872.5</v>
      </c>
      <c r="L261" s="19">
        <f>SUM(F261:K261)</f>
        <v>5872.5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9400</v>
      </c>
      <c r="L263" s="19">
        <f>SUM(F263:K263)</f>
        <v>9400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>
        <v>6809.6</v>
      </c>
      <c r="L268" s="19">
        <f t="shared" si="9"/>
        <v>6809.6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67082.100000000006</v>
      </c>
      <c r="L270" s="41">
        <f t="shared" si="9"/>
        <v>67082.100000000006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572364.25</v>
      </c>
      <c r="G271" s="42">
        <f t="shared" si="11"/>
        <v>258986.72999999998</v>
      </c>
      <c r="H271" s="42">
        <f t="shared" si="11"/>
        <v>1034732.47</v>
      </c>
      <c r="I271" s="42">
        <f t="shared" si="11"/>
        <v>74948.48000000001</v>
      </c>
      <c r="J271" s="42">
        <f t="shared" si="11"/>
        <v>67030.73</v>
      </c>
      <c r="K271" s="42">
        <f t="shared" si="11"/>
        <v>79708.210000000006</v>
      </c>
      <c r="L271" s="42">
        <f t="shared" si="11"/>
        <v>2087770.87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90054.54</v>
      </c>
      <c r="G276" s="18">
        <v>32069.88</v>
      </c>
      <c r="H276" s="18"/>
      <c r="I276" s="18">
        <f>13337.69-3836</f>
        <v>9501.69</v>
      </c>
      <c r="J276" s="18">
        <v>22959.9</v>
      </c>
      <c r="K276" s="18"/>
      <c r="L276" s="19">
        <f>SUM(F276:K276)</f>
        <v>154586.00999999998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10251.120000000001</v>
      </c>
      <c r="G279" s="18">
        <v>2090.69</v>
      </c>
      <c r="H279" s="18"/>
      <c r="I279" s="18"/>
      <c r="J279" s="18"/>
      <c r="K279" s="18"/>
      <c r="L279" s="19">
        <f>SUM(F279:K279)</f>
        <v>12341.810000000001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180</v>
      </c>
      <c r="G281" s="18">
        <v>13.77</v>
      </c>
      <c r="H281" s="18">
        <v>4229.6000000000004</v>
      </c>
      <c r="I281" s="18">
        <f>1754.29+55.95</f>
        <v>1810.24</v>
      </c>
      <c r="J281" s="18"/>
      <c r="K281" s="18">
        <v>3833.06</v>
      </c>
      <c r="L281" s="19">
        <f t="shared" ref="L281:L287" si="12">SUM(F281:K281)</f>
        <v>10066.67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14878.1</v>
      </c>
      <c r="G282" s="18">
        <v>4422.37</v>
      </c>
      <c r="H282" s="18">
        <f>55280+3804.11</f>
        <v>59084.11</v>
      </c>
      <c r="I282" s="18">
        <v>654.32000000000005</v>
      </c>
      <c r="J282" s="18">
        <v>11890</v>
      </c>
      <c r="K282" s="18"/>
      <c r="L282" s="19">
        <f t="shared" si="12"/>
        <v>90928.900000000009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>
        <v>5837.5</v>
      </c>
      <c r="G283" s="18">
        <v>1340.17</v>
      </c>
      <c r="H283" s="18"/>
      <c r="I283" s="18"/>
      <c r="J283" s="18"/>
      <c r="K283" s="18"/>
      <c r="L283" s="19">
        <f t="shared" si="12"/>
        <v>7177.67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>
        <v>3500</v>
      </c>
      <c r="G284" s="18">
        <v>812.3</v>
      </c>
      <c r="H284" s="18"/>
      <c r="I284" s="18"/>
      <c r="J284" s="18"/>
      <c r="K284" s="18"/>
      <c r="L284" s="19">
        <f t="shared" si="12"/>
        <v>4312.3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>
        <v>1800</v>
      </c>
      <c r="L285" s="19">
        <f t="shared" si="12"/>
        <v>1800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>
        <v>844.57</v>
      </c>
      <c r="G287" s="18">
        <v>64.61</v>
      </c>
      <c r="H287" s="18"/>
      <c r="I287" s="18"/>
      <c r="J287" s="18"/>
      <c r="K287" s="18"/>
      <c r="L287" s="19">
        <f t="shared" si="12"/>
        <v>909.18000000000006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125545.83</v>
      </c>
      <c r="G290" s="42">
        <f t="shared" si="13"/>
        <v>40813.79</v>
      </c>
      <c r="H290" s="42">
        <f t="shared" si="13"/>
        <v>63313.71</v>
      </c>
      <c r="I290" s="42">
        <f t="shared" si="13"/>
        <v>11966.25</v>
      </c>
      <c r="J290" s="42">
        <f t="shared" si="13"/>
        <v>34849.9</v>
      </c>
      <c r="K290" s="42">
        <f t="shared" si="13"/>
        <v>5633.0599999999995</v>
      </c>
      <c r="L290" s="41">
        <f t="shared" si="13"/>
        <v>282122.53999999998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125545.83</v>
      </c>
      <c r="G338" s="41">
        <f t="shared" si="20"/>
        <v>40813.79</v>
      </c>
      <c r="H338" s="41">
        <f t="shared" si="20"/>
        <v>63313.71</v>
      </c>
      <c r="I338" s="41">
        <f t="shared" si="20"/>
        <v>11966.25</v>
      </c>
      <c r="J338" s="41">
        <f t="shared" si="20"/>
        <v>34849.9</v>
      </c>
      <c r="K338" s="41">
        <f t="shared" si="20"/>
        <v>5633.0599999999995</v>
      </c>
      <c r="L338" s="41">
        <f t="shared" si="20"/>
        <v>282122.53999999998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125545.83</v>
      </c>
      <c r="G352" s="41">
        <f>G338</f>
        <v>40813.79</v>
      </c>
      <c r="H352" s="41">
        <f>H338</f>
        <v>63313.71</v>
      </c>
      <c r="I352" s="41">
        <f>I338</f>
        <v>11966.25</v>
      </c>
      <c r="J352" s="41">
        <f>J338</f>
        <v>34849.9</v>
      </c>
      <c r="K352" s="47">
        <f>K338+K351</f>
        <v>5633.0599999999995</v>
      </c>
      <c r="L352" s="41">
        <f>L338+L351</f>
        <v>282122.53999999998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>
        <v>10.67</v>
      </c>
      <c r="H358" s="18">
        <f>600.16+55991.27</f>
        <v>56591.43</v>
      </c>
      <c r="I358" s="18">
        <v>272.75</v>
      </c>
      <c r="J358" s="18">
        <v>279</v>
      </c>
      <c r="K358" s="18"/>
      <c r="L358" s="13">
        <f>SUM(F358:K358)</f>
        <v>57153.85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10.67</v>
      </c>
      <c r="H362" s="47">
        <f t="shared" si="22"/>
        <v>56591.43</v>
      </c>
      <c r="I362" s="47">
        <f t="shared" si="22"/>
        <v>272.75</v>
      </c>
      <c r="J362" s="47">
        <f t="shared" si="22"/>
        <v>279</v>
      </c>
      <c r="K362" s="47">
        <f t="shared" si="22"/>
        <v>0</v>
      </c>
      <c r="L362" s="47">
        <f t="shared" si="22"/>
        <v>57153.85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272.75</v>
      </c>
      <c r="G367" s="18"/>
      <c r="H367" s="18"/>
      <c r="I367" s="56">
        <f>SUM(F367:H367)</f>
        <v>272.75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272.75</v>
      </c>
      <c r="G369" s="47">
        <f>SUM(G367:G368)</f>
        <v>0</v>
      </c>
      <c r="H369" s="47">
        <f>SUM(H367:H368)</f>
        <v>0</v>
      </c>
      <c r="I369" s="47">
        <f>SUM(I367:I368)</f>
        <v>272.75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0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0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0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>
        <v>20000</v>
      </c>
      <c r="L416" s="56">
        <f t="shared" si="27"/>
        <v>20000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20000</v>
      </c>
      <c r="L419" s="47">
        <f t="shared" si="28"/>
        <v>20000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>
        <v>29050</v>
      </c>
      <c r="L422" s="56">
        <f t="shared" si="29"/>
        <v>29050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29050</v>
      </c>
      <c r="L427" s="47">
        <f t="shared" si="30"/>
        <v>29050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49050</v>
      </c>
      <c r="L434" s="47">
        <f t="shared" si="32"/>
        <v>49050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>
        <v>205944.32000000001</v>
      </c>
      <c r="H439" s="18"/>
      <c r="I439" s="56">
        <f t="shared" ref="I439:I445" si="33">SUM(F439:H439)</f>
        <v>205944.32000000001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205944.32000000001</v>
      </c>
      <c r="H446" s="13">
        <f>SUM(H439:H445)</f>
        <v>0</v>
      </c>
      <c r="I446" s="13">
        <f>SUM(I439:I445)</f>
        <v>205944.32000000001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205944.32000000001</v>
      </c>
      <c r="H459" s="18"/>
      <c r="I459" s="56">
        <f t="shared" si="34"/>
        <v>205944.32000000001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205944.32000000001</v>
      </c>
      <c r="H460" s="83">
        <f>SUM(H454:H459)</f>
        <v>0</v>
      </c>
      <c r="I460" s="83">
        <f>SUM(I454:I459)</f>
        <v>205944.32000000001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205944.32000000001</v>
      </c>
      <c r="H461" s="42">
        <f>H452+H460</f>
        <v>0</v>
      </c>
      <c r="I461" s="42">
        <f>I452+I460</f>
        <v>205944.32000000001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237842.68</v>
      </c>
      <c r="G465" s="18">
        <v>5085.07</v>
      </c>
      <c r="H465" s="18"/>
      <c r="I465" s="18"/>
      <c r="J465" s="18">
        <v>254994.32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f>3836+2020859.28</f>
        <v>2024695.28</v>
      </c>
      <c r="G468" s="18">
        <v>55998.66</v>
      </c>
      <c r="H468" s="18">
        <v>282122.53999999998</v>
      </c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>
        <v>1081.9000000000001</v>
      </c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2024695.28</v>
      </c>
      <c r="G470" s="53">
        <f>SUM(G468:G469)</f>
        <v>57080.560000000005</v>
      </c>
      <c r="H470" s="53">
        <f>SUM(H468:H469)</f>
        <v>282122.53999999998</v>
      </c>
      <c r="I470" s="53">
        <f>SUM(I468:I469)</f>
        <v>0</v>
      </c>
      <c r="J470" s="53">
        <f>SUM(J468:J469)</f>
        <v>0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3836+2083934.87</f>
        <v>2087770.87</v>
      </c>
      <c r="G472" s="18">
        <v>57153.85</v>
      </c>
      <c r="H472" s="18">
        <v>282122.53999999998</v>
      </c>
      <c r="I472" s="18"/>
      <c r="J472" s="18">
        <v>49050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>
        <v>3101.54</v>
      </c>
      <c r="G473" s="18">
        <v>0</v>
      </c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2090872.4100000001</v>
      </c>
      <c r="G474" s="53">
        <f>SUM(G472:G473)</f>
        <v>57153.85</v>
      </c>
      <c r="H474" s="53">
        <f>SUM(H472:H473)</f>
        <v>282122.53999999998</v>
      </c>
      <c r="I474" s="53">
        <f>SUM(I472:I473)</f>
        <v>0</v>
      </c>
      <c r="J474" s="53">
        <f>SUM(J472:J473)</f>
        <v>49050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171665.54999999981</v>
      </c>
      <c r="G476" s="53">
        <f>(G465+G470)- G474</f>
        <v>5011.7800000000061</v>
      </c>
      <c r="H476" s="53">
        <f>(H465+H470)- H474</f>
        <v>0</v>
      </c>
      <c r="I476" s="53">
        <f>(I465+I470)- I474</f>
        <v>0</v>
      </c>
      <c r="J476" s="53">
        <f>(J465+J470)- J474</f>
        <v>205944.32000000001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>
        <v>20</v>
      </c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913</v>
      </c>
      <c r="G491" s="155" t="s">
        <v>913</v>
      </c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914</v>
      </c>
      <c r="G492" s="155" t="s">
        <v>914</v>
      </c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249438</v>
      </c>
      <c r="G493" s="18">
        <v>748312</v>
      </c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5.01</v>
      </c>
      <c r="G494" s="18">
        <v>4.9800000000000004</v>
      </c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30000</v>
      </c>
      <c r="G495" s="18">
        <v>105000</v>
      </c>
      <c r="H495" s="18"/>
      <c r="I495" s="18"/>
      <c r="J495" s="18"/>
      <c r="K495" s="53">
        <f>SUM(F495:J495)</f>
        <v>135000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10000</v>
      </c>
      <c r="G497" s="18">
        <v>35000</v>
      </c>
      <c r="H497" s="18"/>
      <c r="I497" s="18"/>
      <c r="J497" s="18"/>
      <c r="K497" s="53">
        <f t="shared" si="35"/>
        <v>45000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20000</v>
      </c>
      <c r="G498" s="204">
        <v>70000</v>
      </c>
      <c r="H498" s="204"/>
      <c r="I498" s="204"/>
      <c r="J498" s="204"/>
      <c r="K498" s="205">
        <f t="shared" si="35"/>
        <v>90000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f>530+265+265</f>
        <v>1060</v>
      </c>
      <c r="G499" s="18">
        <f>1820+910+910</f>
        <v>3640</v>
      </c>
      <c r="H499" s="18"/>
      <c r="I499" s="18"/>
      <c r="J499" s="18"/>
      <c r="K499" s="53">
        <f t="shared" si="35"/>
        <v>4700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21060</v>
      </c>
      <c r="G500" s="42">
        <f>SUM(G498:G499)</f>
        <v>73640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94700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10000</v>
      </c>
      <c r="G501" s="204">
        <v>35000</v>
      </c>
      <c r="H501" s="204"/>
      <c r="I501" s="204"/>
      <c r="J501" s="204"/>
      <c r="K501" s="205">
        <f t="shared" si="35"/>
        <v>45000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f>530+265</f>
        <v>795</v>
      </c>
      <c r="G502" s="18">
        <f>1820+910</f>
        <v>2730</v>
      </c>
      <c r="H502" s="18"/>
      <c r="I502" s="18"/>
      <c r="J502" s="18"/>
      <c r="K502" s="53">
        <f t="shared" si="35"/>
        <v>3525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10795</v>
      </c>
      <c r="G503" s="42">
        <f>SUM(G501:G502)</f>
        <v>37730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48525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127818.65</v>
      </c>
      <c r="G521" s="18">
        <v>24969.87</v>
      </c>
      <c r="H521" s="18">
        <v>323.82</v>
      </c>
      <c r="I521" s="18"/>
      <c r="J521" s="18"/>
      <c r="K521" s="18"/>
      <c r="L521" s="88">
        <f>SUM(F521:K521)</f>
        <v>153112.34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>
        <v>20084.95</v>
      </c>
      <c r="I523" s="18"/>
      <c r="J523" s="18"/>
      <c r="K523" s="18"/>
      <c r="L523" s="88">
        <f>SUM(F523:K523)</f>
        <v>20084.95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127818.65</v>
      </c>
      <c r="G524" s="108">
        <f t="shared" ref="G524:L524" si="36">SUM(G521:G523)</f>
        <v>24969.87</v>
      </c>
      <c r="H524" s="108">
        <f t="shared" si="36"/>
        <v>20408.77</v>
      </c>
      <c r="I524" s="108">
        <f t="shared" si="36"/>
        <v>0</v>
      </c>
      <c r="J524" s="108">
        <f t="shared" si="36"/>
        <v>0</v>
      </c>
      <c r="K524" s="108">
        <f t="shared" si="36"/>
        <v>0</v>
      </c>
      <c r="L524" s="89">
        <f t="shared" si="36"/>
        <v>173197.29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6504.52</v>
      </c>
      <c r="G526" s="18">
        <v>497.61</v>
      </c>
      <c r="H526" s="18">
        <f>4313+34735.42</f>
        <v>39048.42</v>
      </c>
      <c r="I526" s="18">
        <v>874.88</v>
      </c>
      <c r="J526" s="18">
        <v>218.9</v>
      </c>
      <c r="K526" s="18"/>
      <c r="L526" s="88">
        <f>SUM(F526:K526)</f>
        <v>47144.329999999994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>
        <v>3235</v>
      </c>
      <c r="I528" s="18"/>
      <c r="J528" s="18"/>
      <c r="K528" s="18"/>
      <c r="L528" s="88">
        <f>SUM(F528:K528)</f>
        <v>3235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6504.52</v>
      </c>
      <c r="G529" s="89">
        <f t="shared" ref="G529:L529" si="37">SUM(G526:G528)</f>
        <v>497.61</v>
      </c>
      <c r="H529" s="89">
        <f t="shared" si="37"/>
        <v>42283.42</v>
      </c>
      <c r="I529" s="89">
        <f t="shared" si="37"/>
        <v>874.88</v>
      </c>
      <c r="J529" s="89">
        <f t="shared" si="37"/>
        <v>218.9</v>
      </c>
      <c r="K529" s="89">
        <f t="shared" si="37"/>
        <v>0</v>
      </c>
      <c r="L529" s="89">
        <f t="shared" si="37"/>
        <v>50379.329999999994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>
        <v>6225</v>
      </c>
      <c r="I531" s="18"/>
      <c r="J531" s="18"/>
      <c r="K531" s="18"/>
      <c r="L531" s="88">
        <f>SUM(F531:K531)</f>
        <v>6225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>
        <v>4669</v>
      </c>
      <c r="I533" s="18"/>
      <c r="J533" s="18"/>
      <c r="K533" s="18"/>
      <c r="L533" s="88">
        <f>SUM(F533:K533)</f>
        <v>4669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10894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10894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0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134323.16999999998</v>
      </c>
      <c r="G545" s="89">
        <f t="shared" ref="G545:L545" si="41">G524+G529+G534+G539+G544</f>
        <v>25467.48</v>
      </c>
      <c r="H545" s="89">
        <f t="shared" si="41"/>
        <v>73586.19</v>
      </c>
      <c r="I545" s="89">
        <f t="shared" si="41"/>
        <v>874.88</v>
      </c>
      <c r="J545" s="89">
        <f t="shared" si="41"/>
        <v>218.9</v>
      </c>
      <c r="K545" s="89">
        <f t="shared" si="41"/>
        <v>0</v>
      </c>
      <c r="L545" s="89">
        <f t="shared" si="41"/>
        <v>234470.62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153112.34</v>
      </c>
      <c r="G549" s="87">
        <f>L526</f>
        <v>47144.329999999994</v>
      </c>
      <c r="H549" s="87">
        <f>L531</f>
        <v>6225</v>
      </c>
      <c r="I549" s="87">
        <f>L536</f>
        <v>0</v>
      </c>
      <c r="J549" s="87">
        <f>L541</f>
        <v>0</v>
      </c>
      <c r="K549" s="87">
        <f>SUM(F549:J549)</f>
        <v>206481.66999999998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20084.95</v>
      </c>
      <c r="G551" s="87">
        <f>L528</f>
        <v>3235</v>
      </c>
      <c r="H551" s="87">
        <f>L533</f>
        <v>4669</v>
      </c>
      <c r="I551" s="87">
        <f>L538</f>
        <v>0</v>
      </c>
      <c r="J551" s="87">
        <f>L543</f>
        <v>0</v>
      </c>
      <c r="K551" s="87">
        <f>SUM(F551:J551)</f>
        <v>27988.95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173197.29</v>
      </c>
      <c r="G552" s="89">
        <f t="shared" si="42"/>
        <v>50379.329999999994</v>
      </c>
      <c r="H552" s="89">
        <f t="shared" si="42"/>
        <v>10894</v>
      </c>
      <c r="I552" s="89">
        <f t="shared" si="42"/>
        <v>0</v>
      </c>
      <c r="J552" s="89">
        <f t="shared" si="42"/>
        <v>0</v>
      </c>
      <c r="K552" s="89">
        <f t="shared" si="42"/>
        <v>234470.62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>
        <v>126110.54</v>
      </c>
      <c r="G575" s="18"/>
      <c r="H575" s="18">
        <v>126110.54</v>
      </c>
      <c r="I575" s="87">
        <f>SUM(F575:H575)</f>
        <v>252221.08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>
        <v>383644.46</v>
      </c>
      <c r="G576" s="18"/>
      <c r="H576" s="18">
        <v>383644.46</v>
      </c>
      <c r="I576" s="87">
        <f t="shared" ref="I576:I587" si="47">SUM(F576:H576)</f>
        <v>767288.92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>
        <v>3924.54</v>
      </c>
      <c r="I580" s="87">
        <f t="shared" si="47"/>
        <v>3924.54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>
        <v>16160.41</v>
      </c>
      <c r="I582" s="87">
        <f t="shared" si="47"/>
        <v>16160.41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95468.69</v>
      </c>
      <c r="I591" s="18"/>
      <c r="J591" s="18">
        <v>32335.59</v>
      </c>
      <c r="K591" s="104">
        <f t="shared" ref="K591:K597" si="48">SUM(H591:J591)</f>
        <v>127804.28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0</v>
      </c>
      <c r="I592" s="18"/>
      <c r="J592" s="18"/>
      <c r="K592" s="104">
        <f t="shared" si="48"/>
        <v>0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1315.3</v>
      </c>
      <c r="I595" s="18"/>
      <c r="J595" s="18"/>
      <c r="K595" s="104">
        <f t="shared" si="48"/>
        <v>1315.3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>
        <v>0</v>
      </c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96783.99</v>
      </c>
      <c r="I598" s="108">
        <f>SUM(I591:I597)</f>
        <v>0</v>
      </c>
      <c r="J598" s="108">
        <f>SUM(J591:J597)</f>
        <v>32335.59</v>
      </c>
      <c r="K598" s="108">
        <f>SUM(K591:K597)</f>
        <v>129119.58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90269.63-279-560</f>
        <v>89430.63</v>
      </c>
      <c r="I604" s="18"/>
      <c r="J604" s="18">
        <v>12450</v>
      </c>
      <c r="K604" s="104">
        <f>SUM(H604:J604)</f>
        <v>101880.63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89430.63</v>
      </c>
      <c r="I605" s="108">
        <f>SUM(I602:I604)</f>
        <v>0</v>
      </c>
      <c r="J605" s="108">
        <f>SUM(J602:J604)</f>
        <v>12450</v>
      </c>
      <c r="K605" s="108">
        <f>SUM(K602:K604)</f>
        <v>101880.63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262100.77000000002</v>
      </c>
      <c r="H617" s="109">
        <f>SUM(F52)</f>
        <v>262100.76999999981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10126.969999999999</v>
      </c>
      <c r="H618" s="109">
        <f>SUM(G52)</f>
        <v>10126.970000000008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118788.8</v>
      </c>
      <c r="H619" s="109">
        <f>SUM(H52)</f>
        <v>118788.8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205944.32000000001</v>
      </c>
      <c r="H621" s="109">
        <f>SUM(J52)</f>
        <v>205944.32000000001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171665.54999999981</v>
      </c>
      <c r="H622" s="109">
        <f>F476</f>
        <v>171665.54999999981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5011.7800000000079</v>
      </c>
      <c r="H623" s="109">
        <f>G476</f>
        <v>5011.7800000000061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205944.32000000001</v>
      </c>
      <c r="H626" s="109">
        <f>J476</f>
        <v>205944.32000000001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2024695.28</v>
      </c>
      <c r="H627" s="104">
        <f>SUM(F468)</f>
        <v>2024695.28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55998.659999999996</v>
      </c>
      <c r="H628" s="104">
        <f>SUM(G468)</f>
        <v>55998.66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282122.53999999998</v>
      </c>
      <c r="H629" s="104">
        <f>SUM(H468)</f>
        <v>282122.53999999998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0</v>
      </c>
      <c r="H631" s="104">
        <f>SUM(J468)</f>
        <v>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2087770.87</v>
      </c>
      <c r="H632" s="104">
        <f>SUM(F472)</f>
        <v>2087770.87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282122.53999999998</v>
      </c>
      <c r="H633" s="104">
        <f>SUM(H472)</f>
        <v>282122.53999999998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272.75</v>
      </c>
      <c r="H634" s="104">
        <f>I369</f>
        <v>272.75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57153.85</v>
      </c>
      <c r="H635" s="104">
        <f>SUM(G472)</f>
        <v>57153.85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0</v>
      </c>
      <c r="H637" s="164">
        <f>SUM(J468)</f>
        <v>0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49050</v>
      </c>
      <c r="H638" s="164">
        <f>SUM(J472)</f>
        <v>49050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205944.32000000001</v>
      </c>
      <c r="H640" s="104">
        <f>SUM(G461)</f>
        <v>205944.32000000001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205944.32000000001</v>
      </c>
      <c r="H642" s="104">
        <f>SUM(I461)</f>
        <v>205944.32000000001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0</v>
      </c>
      <c r="H644" s="104">
        <f>H408</f>
        <v>0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0</v>
      </c>
      <c r="H646" s="104">
        <f>L408</f>
        <v>0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129119.58</v>
      </c>
      <c r="H647" s="104">
        <f>L208+L226+L244</f>
        <v>129119.57999999999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101880.63</v>
      </c>
      <c r="H648" s="104">
        <f>(J257+J338)-(J255+J336)</f>
        <v>101880.63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96783.989999999991</v>
      </c>
      <c r="H649" s="104">
        <f>H598</f>
        <v>96783.99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32335.59</v>
      </c>
      <c r="H651" s="104">
        <f>J598</f>
        <v>32335.59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9400</v>
      </c>
      <c r="H652" s="104">
        <f>K263+K345</f>
        <v>9400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1764889.7200000002</v>
      </c>
      <c r="G660" s="19">
        <f>(L229+L309+L359)</f>
        <v>0</v>
      </c>
      <c r="H660" s="19">
        <f>(L247+L328+L360)</f>
        <v>595075.43999999994</v>
      </c>
      <c r="I660" s="19">
        <f>SUM(F660:H660)</f>
        <v>2359965.16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12878.75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12878.75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60343.169999999984</v>
      </c>
      <c r="G662" s="19">
        <f>(L226+L306)-(J226+J306)</f>
        <v>0</v>
      </c>
      <c r="H662" s="19">
        <f>(L244+L325)-(J244+J325)</f>
        <v>19885.59</v>
      </c>
      <c r="I662" s="19">
        <f>SUM(F662:H662)</f>
        <v>80228.75999999998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599185.63</v>
      </c>
      <c r="G663" s="199">
        <f>SUM(G575:G587)+SUM(I602:I604)+L612</f>
        <v>0</v>
      </c>
      <c r="H663" s="199">
        <f>SUM(H575:H587)+SUM(J602:J604)+L613</f>
        <v>542289.94999999995</v>
      </c>
      <c r="I663" s="19">
        <f>SUM(F663:H663)</f>
        <v>1141475.58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1092482.1700000002</v>
      </c>
      <c r="G664" s="19">
        <f>G660-SUM(G661:G663)</f>
        <v>0</v>
      </c>
      <c r="H664" s="19">
        <f>H660-SUM(H661:H663)</f>
        <v>32899.900000000023</v>
      </c>
      <c r="I664" s="19">
        <f>I660-SUM(I661:I663)</f>
        <v>1125382.07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78.05</v>
      </c>
      <c r="G665" s="248"/>
      <c r="H665" s="248"/>
      <c r="I665" s="19">
        <f>SUM(F665:H665)</f>
        <v>78.05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13997.21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14418.73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>
        <v>-32899.9</v>
      </c>
      <c r="I669" s="19">
        <f>SUM(F669:H669)</f>
        <v>-32899.9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13997.21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13997.21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5" zoomScale="120" zoomScaleNormal="120" workbookViewId="0">
      <selection activeCell="C38" sqref="C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Stewartstown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350993.08999999997</v>
      </c>
      <c r="C9" s="229">
        <f>'DOE25'!G197+'DOE25'!G215+'DOE25'!G233+'DOE25'!G276+'DOE25'!G295+'DOE25'!G314</f>
        <v>199280.72</v>
      </c>
    </row>
    <row r="10" spans="1:3" x14ac:dyDescent="0.2">
      <c r="A10" t="s">
        <v>779</v>
      </c>
      <c r="B10" s="240">
        <f>216096.33+64550+20914+25434.54</f>
        <v>326994.86999999994</v>
      </c>
      <c r="C10" s="240">
        <f>129501.12+33862.47+10115+290+23675.71</f>
        <v>197444.3</v>
      </c>
    </row>
    <row r="11" spans="1:3" x14ac:dyDescent="0.2">
      <c r="A11" t="s">
        <v>780</v>
      </c>
      <c r="B11" s="240">
        <v>13927.59</v>
      </c>
      <c r="C11" s="240">
        <v>1065.42</v>
      </c>
    </row>
    <row r="12" spans="1:3" x14ac:dyDescent="0.2">
      <c r="A12" t="s">
        <v>781</v>
      </c>
      <c r="B12" s="240">
        <f>70+10000.63</f>
        <v>10070.629999999999</v>
      </c>
      <c r="C12" s="240">
        <v>771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350993.08999999997</v>
      </c>
      <c r="C13" s="231">
        <f>SUM(C10:C12)</f>
        <v>199280.72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127818.65</v>
      </c>
      <c r="C18" s="229">
        <f>'DOE25'!G198+'DOE25'!G216+'DOE25'!G234+'DOE25'!G277+'DOE25'!G296+'DOE25'!G315</f>
        <v>24969.87</v>
      </c>
    </row>
    <row r="19" spans="1:3" x14ac:dyDescent="0.2">
      <c r="A19" t="s">
        <v>779</v>
      </c>
      <c r="B19" s="240">
        <v>48150</v>
      </c>
      <c r="C19" s="240">
        <v>18875.240000000002</v>
      </c>
    </row>
    <row r="20" spans="1:3" x14ac:dyDescent="0.2">
      <c r="A20" t="s">
        <v>780</v>
      </c>
      <c r="B20" s="240">
        <v>77227.91</v>
      </c>
      <c r="C20" s="240">
        <v>5907.91</v>
      </c>
    </row>
    <row r="21" spans="1:3" x14ac:dyDescent="0.2">
      <c r="A21" t="s">
        <v>781</v>
      </c>
      <c r="B21" s="240">
        <v>2440.7399999999998</v>
      </c>
      <c r="C21" s="240">
        <v>186.72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127818.65000000001</v>
      </c>
      <c r="C22" s="231">
        <f>SUM(C19:C21)</f>
        <v>24969.870000000003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10251.120000000001</v>
      </c>
      <c r="C36" s="235">
        <f>'DOE25'!G200+'DOE25'!G218+'DOE25'!G236+'DOE25'!G279+'DOE25'!G298+'DOE25'!G317</f>
        <v>2090.69</v>
      </c>
    </row>
    <row r="37" spans="1:3" x14ac:dyDescent="0.2">
      <c r="A37" t="s">
        <v>779</v>
      </c>
      <c r="B37" s="240">
        <v>9702.6200000000008</v>
      </c>
      <c r="C37" s="240">
        <f>784.2+1306.49-41.96</f>
        <v>2048.73</v>
      </c>
    </row>
    <row r="38" spans="1:3" x14ac:dyDescent="0.2">
      <c r="A38" t="s">
        <v>780</v>
      </c>
      <c r="B38" s="240">
        <v>548.5</v>
      </c>
      <c r="C38" s="240">
        <v>41.96</v>
      </c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10251.120000000001</v>
      </c>
      <c r="C40" s="231">
        <f>SUM(C37:C39)</f>
        <v>2090.69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tabSelected="1" workbookViewId="0">
      <pane ySplit="4" topLeftCell="A5" activePane="bottomLeft" state="frozen"/>
      <selection activeCell="F46" sqref="F46"/>
      <selection pane="bottomLeft" activeCell="D11" sqref="D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Stewartstown School District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1161295.44</v>
      </c>
      <c r="D5" s="20">
        <f>SUM('DOE25'!L197:L200)+SUM('DOE25'!L215:L218)+SUM('DOE25'!L233:L236)-F5-G5</f>
        <v>1157742.9899999998</v>
      </c>
      <c r="E5" s="243"/>
      <c r="F5" s="255">
        <f>SUM('DOE25'!J197:J200)+SUM('DOE25'!J215:J218)+SUM('DOE25'!J233:J236)</f>
        <v>3389.83</v>
      </c>
      <c r="G5" s="53">
        <f>SUM('DOE25'!K197:K200)+SUM('DOE25'!K215:K218)+SUM('DOE25'!K233:K236)</f>
        <v>162.62</v>
      </c>
      <c r="H5" s="259"/>
    </row>
    <row r="6" spans="1:9" x14ac:dyDescent="0.2">
      <c r="A6" s="32">
        <v>2100</v>
      </c>
      <c r="B6" t="s">
        <v>801</v>
      </c>
      <c r="C6" s="245">
        <f t="shared" si="0"/>
        <v>219706.99</v>
      </c>
      <c r="D6" s="20">
        <f>'DOE25'!L202+'DOE25'!L220+'DOE25'!L238-F6-G6</f>
        <v>212165.65</v>
      </c>
      <c r="E6" s="243"/>
      <c r="F6" s="255">
        <f>'DOE25'!J202+'DOE25'!J220+'DOE25'!J238</f>
        <v>6285.71</v>
      </c>
      <c r="G6" s="53">
        <f>'DOE25'!K202+'DOE25'!K220+'DOE25'!K238</f>
        <v>1255.6300000000001</v>
      </c>
      <c r="H6" s="259"/>
    </row>
    <row r="7" spans="1:9" x14ac:dyDescent="0.2">
      <c r="A7" s="32">
        <v>2200</v>
      </c>
      <c r="B7" t="s">
        <v>834</v>
      </c>
      <c r="C7" s="245">
        <f t="shared" si="0"/>
        <v>35129.1</v>
      </c>
      <c r="D7" s="20">
        <f>'DOE25'!L203+'DOE25'!L221+'DOE25'!L239-F7-G7</f>
        <v>30921.1</v>
      </c>
      <c r="E7" s="243"/>
      <c r="F7" s="255">
        <f>'DOE25'!J203+'DOE25'!J221+'DOE25'!J239</f>
        <v>0</v>
      </c>
      <c r="G7" s="53">
        <f>'DOE25'!K203+'DOE25'!K221+'DOE25'!K239</f>
        <v>4208</v>
      </c>
      <c r="H7" s="259"/>
    </row>
    <row r="8" spans="1:9" x14ac:dyDescent="0.2">
      <c r="A8" s="32">
        <v>2300</v>
      </c>
      <c r="B8" t="s">
        <v>802</v>
      </c>
      <c r="C8" s="245">
        <f t="shared" si="0"/>
        <v>64414.920000000006</v>
      </c>
      <c r="D8" s="243"/>
      <c r="E8" s="20">
        <f>'DOE25'!L204+'DOE25'!L222+'DOE25'!L240-F8-G8-D9-D11</f>
        <v>61042.16</v>
      </c>
      <c r="F8" s="255">
        <f>'DOE25'!J204+'DOE25'!J222+'DOE25'!J240</f>
        <v>0</v>
      </c>
      <c r="G8" s="53">
        <f>'DOE25'!K204+'DOE25'!K222+'DOE25'!K240</f>
        <v>3372.76</v>
      </c>
      <c r="H8" s="259"/>
    </row>
    <row r="9" spans="1:9" x14ac:dyDescent="0.2">
      <c r="A9" s="32">
        <v>2310</v>
      </c>
      <c r="B9" t="s">
        <v>818</v>
      </c>
      <c r="C9" s="245">
        <f t="shared" si="0"/>
        <v>23322.74</v>
      </c>
      <c r="D9" s="244">
        <v>23322.74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7800</v>
      </c>
      <c r="D10" s="243"/>
      <c r="E10" s="244">
        <v>7800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37294</v>
      </c>
      <c r="D11" s="244">
        <v>37294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122482.97000000002</v>
      </c>
      <c r="D12" s="20">
        <f>'DOE25'!L205+'DOE25'!L223+'DOE25'!L241-F12-G12</f>
        <v>120717.74</v>
      </c>
      <c r="E12" s="243"/>
      <c r="F12" s="255">
        <f>'DOE25'!J205+'DOE25'!J223+'DOE25'!J241</f>
        <v>806.13</v>
      </c>
      <c r="G12" s="53">
        <f>'DOE25'!K205+'DOE25'!K223+'DOE25'!K241</f>
        <v>959.1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227923.03000000003</v>
      </c>
      <c r="D14" s="20">
        <f>'DOE25'!L207+'DOE25'!L225+'DOE25'!L243-F14-G14</f>
        <v>218835.97000000003</v>
      </c>
      <c r="E14" s="243"/>
      <c r="F14" s="255">
        <f>'DOE25'!J207+'DOE25'!J225+'DOE25'!J243</f>
        <v>6749.06</v>
      </c>
      <c r="G14" s="53">
        <f>'DOE25'!K207+'DOE25'!K225+'DOE25'!K243</f>
        <v>2338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129119.57999999999</v>
      </c>
      <c r="D15" s="20">
        <f>'DOE25'!L208+'DOE25'!L226+'DOE25'!L244-F15-G15</f>
        <v>78989.579999999987</v>
      </c>
      <c r="E15" s="243"/>
      <c r="F15" s="255">
        <f>'DOE25'!J208+'DOE25'!J226+'DOE25'!J244</f>
        <v>49800</v>
      </c>
      <c r="G15" s="53">
        <f>'DOE25'!K208+'DOE25'!K226+'DOE25'!K244</f>
        <v>330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50872.5</v>
      </c>
      <c r="D25" s="243"/>
      <c r="E25" s="243"/>
      <c r="F25" s="258"/>
      <c r="G25" s="256"/>
      <c r="H25" s="257">
        <f>'DOE25'!L260+'DOE25'!L261+'DOE25'!L341+'DOE25'!L342</f>
        <v>50872.5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56881.1</v>
      </c>
      <c r="D29" s="20">
        <f>'DOE25'!L358+'DOE25'!L359+'DOE25'!L360-'DOE25'!I367-F29-G29</f>
        <v>56602.1</v>
      </c>
      <c r="E29" s="243"/>
      <c r="F29" s="255">
        <f>'DOE25'!J358+'DOE25'!J359+'DOE25'!J360</f>
        <v>279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282122.53999999998</v>
      </c>
      <c r="D31" s="20">
        <f>'DOE25'!L290+'DOE25'!L309+'DOE25'!L328+'DOE25'!L333+'DOE25'!L334+'DOE25'!L335-F31-G31</f>
        <v>241639.58</v>
      </c>
      <c r="E31" s="243"/>
      <c r="F31" s="255">
        <f>'DOE25'!J290+'DOE25'!J309+'DOE25'!J328+'DOE25'!J333+'DOE25'!J334+'DOE25'!J335</f>
        <v>34849.9</v>
      </c>
      <c r="G31" s="53">
        <f>'DOE25'!K290+'DOE25'!K309+'DOE25'!K328+'DOE25'!K333+'DOE25'!K334+'DOE25'!K335</f>
        <v>5633.0599999999995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2178231.4499999997</v>
      </c>
      <c r="E33" s="246">
        <f>SUM(E5:E31)</f>
        <v>68842.16</v>
      </c>
      <c r="F33" s="246">
        <f>SUM(F5:F31)</f>
        <v>102159.63</v>
      </c>
      <c r="G33" s="246">
        <f>SUM(G5:G31)</f>
        <v>18259.169999999998</v>
      </c>
      <c r="H33" s="246">
        <f>SUM(H5:H31)</f>
        <v>50872.5</v>
      </c>
    </row>
    <row r="35" spans="2:8" ht="12" thickBot="1" x14ac:dyDescent="0.25">
      <c r="B35" s="253" t="s">
        <v>847</v>
      </c>
      <c r="D35" s="254">
        <f>E33</f>
        <v>68842.16</v>
      </c>
      <c r="E35" s="249"/>
    </row>
    <row r="36" spans="2:8" ht="12" thickTop="1" x14ac:dyDescent="0.2">
      <c r="B36" t="s">
        <v>815</v>
      </c>
      <c r="D36" s="20">
        <f>D33</f>
        <v>2178231.4499999997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Stewartstown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137808.76</v>
      </c>
      <c r="D8" s="95">
        <f>'DOE25'!G9</f>
        <v>7497.94</v>
      </c>
      <c r="E8" s="95">
        <f>'DOE25'!H9</f>
        <v>0</v>
      </c>
      <c r="F8" s="95">
        <f>'DOE25'!I9</f>
        <v>0</v>
      </c>
      <c r="G8" s="95">
        <f>'DOE25'!J9</f>
        <v>205944.32000000001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84003.01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40257.449999999997</v>
      </c>
      <c r="D12" s="95">
        <f>'DOE25'!G13</f>
        <v>978.88</v>
      </c>
      <c r="E12" s="95">
        <f>'DOE25'!H13</f>
        <v>118788.8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31.55</v>
      </c>
      <c r="D13" s="95">
        <f>'DOE25'!G14</f>
        <v>21.3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1628.85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262100.77000000002</v>
      </c>
      <c r="D18" s="41">
        <f>SUM(D8:D17)</f>
        <v>10126.969999999999</v>
      </c>
      <c r="E18" s="41">
        <f>SUM(E8:E17)</f>
        <v>118788.8</v>
      </c>
      <c r="F18" s="41">
        <f>SUM(F8:F17)</f>
        <v>0</v>
      </c>
      <c r="G18" s="41">
        <f>SUM(G8:G17)</f>
        <v>205944.32000000001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84003.01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78645.91</v>
      </c>
      <c r="D23" s="95">
        <f>'DOE25'!G24</f>
        <v>5115.1899999999996</v>
      </c>
      <c r="E23" s="95">
        <f>'DOE25'!H24</f>
        <v>21952.58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 t="str">
        <f>'DOE25'!H25</f>
        <v>.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1613.58</v>
      </c>
      <c r="D27" s="95">
        <f>'DOE25'!G28</f>
        <v>0</v>
      </c>
      <c r="E27" s="95">
        <f>'DOE25'!H28</f>
        <v>10890.85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4370.42</v>
      </c>
      <c r="D28" s="95">
        <f>'DOE25'!G29</f>
        <v>0</v>
      </c>
      <c r="E28" s="95">
        <f>'DOE25'!H29</f>
        <v>1942.36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5805.31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90435.22</v>
      </c>
      <c r="D31" s="41">
        <f>SUM(D21:D30)</f>
        <v>5115.1899999999996</v>
      </c>
      <c r="E31" s="41">
        <f>SUM(E21:E30)</f>
        <v>118788.8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1628.85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5000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34533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3382.9300000000076</v>
      </c>
      <c r="E47" s="95">
        <f>'DOE25'!H48</f>
        <v>0</v>
      </c>
      <c r="F47" s="95">
        <f>'DOE25'!I48</f>
        <v>0</v>
      </c>
      <c r="G47" s="95">
        <f>'DOE25'!J48</f>
        <v>205944.32000000001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132132.54999999981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171665.54999999981</v>
      </c>
      <c r="D50" s="41">
        <f>SUM(D34:D49)</f>
        <v>5011.7800000000079</v>
      </c>
      <c r="E50" s="41">
        <f>SUM(E34:E49)</f>
        <v>0</v>
      </c>
      <c r="F50" s="41">
        <f>SUM(F34:F49)</f>
        <v>0</v>
      </c>
      <c r="G50" s="41">
        <f>SUM(G34:G49)</f>
        <v>205944.32000000001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262100.76999999981</v>
      </c>
      <c r="D51" s="41">
        <f>D50+D31</f>
        <v>10126.970000000008</v>
      </c>
      <c r="E51" s="41">
        <f>E50+E31</f>
        <v>118788.8</v>
      </c>
      <c r="F51" s="41">
        <f>F50+F31</f>
        <v>0</v>
      </c>
      <c r="G51" s="41">
        <f>G50+G31</f>
        <v>205944.32000000001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1209100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301.31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12878.75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18076.140000000003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18377.450000000004</v>
      </c>
      <c r="D62" s="130">
        <f>SUM(D57:D61)</f>
        <v>12878.75</v>
      </c>
      <c r="E62" s="130">
        <f>SUM(E57:E61)</f>
        <v>0</v>
      </c>
      <c r="F62" s="130">
        <f>SUM(F57:F61)</f>
        <v>0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1227477.45</v>
      </c>
      <c r="D63" s="22">
        <f>D56+D62</f>
        <v>12878.75</v>
      </c>
      <c r="E63" s="22">
        <f>E56+E62</f>
        <v>0</v>
      </c>
      <c r="F63" s="22">
        <f>F56+F62</f>
        <v>0</v>
      </c>
      <c r="G63" s="22">
        <f>G56+G62</f>
        <v>0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553787.91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172203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725990.91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14086.26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727.56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14086.26</v>
      </c>
      <c r="D78" s="130">
        <f>SUM(D72:D77)</f>
        <v>727.56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740077.17</v>
      </c>
      <c r="D81" s="130">
        <f>SUM(D79:D80)+D78+D70</f>
        <v>727.56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4254.66</v>
      </c>
      <c r="D88" s="95">
        <f>SUM('DOE25'!G153:G161)</f>
        <v>32992.35</v>
      </c>
      <c r="E88" s="95">
        <f>SUM('DOE25'!H153:H161)</f>
        <v>282122.53999999998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3836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8090.66</v>
      </c>
      <c r="D91" s="131">
        <f>SUM(D85:D90)</f>
        <v>32992.35</v>
      </c>
      <c r="E91" s="131">
        <f>SUM(E85:E90)</f>
        <v>282122.53999999998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9400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49050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49050</v>
      </c>
      <c r="D103" s="86">
        <f>SUM(D93:D102)</f>
        <v>9400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2024695.28</v>
      </c>
      <c r="D104" s="86">
        <f>D63+D81+D91+D103</f>
        <v>55998.659999999996</v>
      </c>
      <c r="E104" s="86">
        <f>E63+E81+E91+E103</f>
        <v>282122.53999999998</v>
      </c>
      <c r="F104" s="86">
        <f>F63+F81+F91+F103</f>
        <v>0</v>
      </c>
      <c r="G104" s="86">
        <f>G63+G81+G103</f>
        <v>0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988098.15</v>
      </c>
      <c r="D109" s="24" t="s">
        <v>289</v>
      </c>
      <c r="E109" s="95">
        <f>('DOE25'!L276)+('DOE25'!L295)+('DOE25'!L314)</f>
        <v>154586.00999999998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173197.29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0</v>
      </c>
      <c r="D112" s="24" t="s">
        <v>289</v>
      </c>
      <c r="E112" s="95">
        <f>+('DOE25'!L279)+('DOE25'!L298)+('DOE25'!L317)</f>
        <v>12341.810000000001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1161295.44</v>
      </c>
      <c r="D115" s="86">
        <f>SUM(D109:D114)</f>
        <v>0</v>
      </c>
      <c r="E115" s="86">
        <f>SUM(E109:E114)</f>
        <v>166927.81999999998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219706.99</v>
      </c>
      <c r="D118" s="24" t="s">
        <v>289</v>
      </c>
      <c r="E118" s="95">
        <f>+('DOE25'!L281)+('DOE25'!L300)+('DOE25'!L319)</f>
        <v>10066.67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35129.1</v>
      </c>
      <c r="D119" s="24" t="s">
        <v>289</v>
      </c>
      <c r="E119" s="95">
        <f>+('DOE25'!L282)+('DOE25'!L301)+('DOE25'!L320)</f>
        <v>90928.900000000009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125031.66</v>
      </c>
      <c r="D120" s="24" t="s">
        <v>289</v>
      </c>
      <c r="E120" s="95">
        <f>+('DOE25'!L283)+('DOE25'!L302)+('DOE25'!L321)</f>
        <v>7177.67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122482.97000000002</v>
      </c>
      <c r="D121" s="24" t="s">
        <v>289</v>
      </c>
      <c r="E121" s="95">
        <f>+('DOE25'!L284)+('DOE25'!L303)+('DOE25'!L322)</f>
        <v>4312.3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1800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227923.03000000003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129119.57999999999</v>
      </c>
      <c r="D124" s="24" t="s">
        <v>289</v>
      </c>
      <c r="E124" s="95">
        <f>+('DOE25'!L287)+('DOE25'!L306)+('DOE25'!L325)</f>
        <v>909.18000000000006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57153.85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859393.33</v>
      </c>
      <c r="D128" s="86">
        <f>SUM(D118:D127)</f>
        <v>57153.85</v>
      </c>
      <c r="E128" s="86">
        <f>SUM(E118:E127)</f>
        <v>115194.72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45000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5872.5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49050</v>
      </c>
    </row>
    <row r="135" spans="1:7" x14ac:dyDescent="0.2">
      <c r="A135" t="s">
        <v>233</v>
      </c>
      <c r="B135" s="32" t="s">
        <v>234</v>
      </c>
      <c r="C135" s="95">
        <f>'DOE25'!L263</f>
        <v>9400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0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6809.6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67082.100000000006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49050</v>
      </c>
    </row>
    <row r="145" spans="1:9" ht="12.75" thickTop="1" thickBot="1" x14ac:dyDescent="0.25">
      <c r="A145" s="33" t="s">
        <v>244</v>
      </c>
      <c r="C145" s="86">
        <f>(C115+C128+C144)</f>
        <v>2087770.87</v>
      </c>
      <c r="D145" s="86">
        <f>(D115+D128+D144)</f>
        <v>57153.85</v>
      </c>
      <c r="E145" s="86">
        <f>(E115+E128+E144)</f>
        <v>282122.53999999998</v>
      </c>
      <c r="F145" s="86">
        <f>(F115+F128+F144)</f>
        <v>0</v>
      </c>
      <c r="G145" s="86">
        <f>(G115+G128+G144)</f>
        <v>49050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20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08/1997</v>
      </c>
      <c r="C152" s="152" t="str">
        <f>'DOE25'!G491</f>
        <v>08/1997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08/2017</v>
      </c>
      <c r="C153" s="152" t="str">
        <f>'DOE25'!G492</f>
        <v>08/2017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249438</v>
      </c>
      <c r="C154" s="137">
        <f>'DOE25'!G493</f>
        <v>748312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5.01</v>
      </c>
      <c r="C155" s="137">
        <f>'DOE25'!G494</f>
        <v>4.9800000000000004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30000</v>
      </c>
      <c r="C156" s="137">
        <f>'DOE25'!G495</f>
        <v>105000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135000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10000</v>
      </c>
      <c r="C158" s="137">
        <f>'DOE25'!G497</f>
        <v>35000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45000</v>
      </c>
    </row>
    <row r="159" spans="1:9" x14ac:dyDescent="0.2">
      <c r="A159" s="22" t="s">
        <v>35</v>
      </c>
      <c r="B159" s="137">
        <f>'DOE25'!F498</f>
        <v>20000</v>
      </c>
      <c r="C159" s="137">
        <f>'DOE25'!G498</f>
        <v>70000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90000</v>
      </c>
    </row>
    <row r="160" spans="1:9" x14ac:dyDescent="0.2">
      <c r="A160" s="22" t="s">
        <v>36</v>
      </c>
      <c r="B160" s="137">
        <f>'DOE25'!F499</f>
        <v>1060</v>
      </c>
      <c r="C160" s="137">
        <f>'DOE25'!G499</f>
        <v>3640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4700</v>
      </c>
    </row>
    <row r="161" spans="1:7" x14ac:dyDescent="0.2">
      <c r="A161" s="22" t="s">
        <v>37</v>
      </c>
      <c r="B161" s="137">
        <f>'DOE25'!F500</f>
        <v>21060</v>
      </c>
      <c r="C161" s="137">
        <f>'DOE25'!G500</f>
        <v>73640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94700</v>
      </c>
    </row>
    <row r="162" spans="1:7" x14ac:dyDescent="0.2">
      <c r="A162" s="22" t="s">
        <v>38</v>
      </c>
      <c r="B162" s="137">
        <f>'DOE25'!F501</f>
        <v>10000</v>
      </c>
      <c r="C162" s="137">
        <f>'DOE25'!G501</f>
        <v>35000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45000</v>
      </c>
    </row>
    <row r="163" spans="1:7" x14ac:dyDescent="0.2">
      <c r="A163" s="22" t="s">
        <v>39</v>
      </c>
      <c r="B163" s="137">
        <f>'DOE25'!F502</f>
        <v>795</v>
      </c>
      <c r="C163" s="137">
        <f>'DOE25'!G502</f>
        <v>2730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3525</v>
      </c>
    </row>
    <row r="164" spans="1:7" x14ac:dyDescent="0.2">
      <c r="A164" s="22" t="s">
        <v>246</v>
      </c>
      <c r="B164" s="137">
        <f>'DOE25'!F503</f>
        <v>10795</v>
      </c>
      <c r="C164" s="137">
        <f>'DOE25'!G503</f>
        <v>37730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48525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Stewartstown School District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13997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13997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1142684</v>
      </c>
      <c r="D10" s="182">
        <f>ROUND((C10/$C$28)*100,1)</f>
        <v>48.4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173197</v>
      </c>
      <c r="D11" s="182">
        <f>ROUND((C11/$C$28)*100,1)</f>
        <v>7.3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12342</v>
      </c>
      <c r="D13" s="182">
        <f>ROUND((C13/$C$28)*100,1)</f>
        <v>0.5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229774</v>
      </c>
      <c r="D15" s="182">
        <f t="shared" ref="D15:D27" si="0">ROUND((C15/$C$28)*100,1)</f>
        <v>9.6999999999999993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126058</v>
      </c>
      <c r="D16" s="182">
        <f t="shared" si="0"/>
        <v>5.3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132209</v>
      </c>
      <c r="D17" s="182">
        <f t="shared" si="0"/>
        <v>5.6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126795</v>
      </c>
      <c r="D18" s="182">
        <f t="shared" si="0"/>
        <v>5.4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1800</v>
      </c>
      <c r="D19" s="182">
        <f t="shared" si="0"/>
        <v>0.1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227923</v>
      </c>
      <c r="D20" s="182">
        <f t="shared" si="0"/>
        <v>9.6999999999999993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130029</v>
      </c>
      <c r="D21" s="182">
        <f t="shared" si="0"/>
        <v>5.5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5873</v>
      </c>
      <c r="D25" s="182">
        <f t="shared" si="0"/>
        <v>0.2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6809.6</v>
      </c>
      <c r="D26" s="182">
        <f t="shared" si="0"/>
        <v>0.3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44275.25</v>
      </c>
      <c r="D27" s="182">
        <f t="shared" si="0"/>
        <v>1.9</v>
      </c>
    </row>
    <row r="28" spans="1:4" x14ac:dyDescent="0.2">
      <c r="B28" s="187" t="s">
        <v>723</v>
      </c>
      <c r="C28" s="180">
        <f>SUM(C10:C27)</f>
        <v>2359768.85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2359768.85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45000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1209100</v>
      </c>
      <c r="D35" s="182">
        <f t="shared" ref="D35:D40" si="1">ROUND((C35/$C$41)*100,1)</f>
        <v>52.8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18377.449999999953</v>
      </c>
      <c r="D36" s="182">
        <f t="shared" si="1"/>
        <v>0.8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725991</v>
      </c>
      <c r="D37" s="182">
        <f t="shared" si="1"/>
        <v>31.7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14814</v>
      </c>
      <c r="D38" s="182">
        <f t="shared" si="1"/>
        <v>0.6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323206</v>
      </c>
      <c r="D39" s="182">
        <f t="shared" si="1"/>
        <v>14.1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2291488.4500000002</v>
      </c>
      <c r="D41" s="184">
        <f>SUM(D35:D40)</f>
        <v>99.999999999999986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15" sqref="C15:M15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770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767</v>
      </c>
      <c r="B2" s="301"/>
      <c r="C2" s="301"/>
      <c r="D2" s="301"/>
      <c r="E2" s="301"/>
      <c r="F2" s="298" t="str">
        <f>'DOE25'!A2</f>
        <v>Stewartstown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6" t="s">
        <v>771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 t="s">
        <v>916</v>
      </c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 t="s">
        <v>917</v>
      </c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848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2016-09-18T13:29:45Z</cp:lastPrinted>
  <dcterms:created xsi:type="dcterms:W3CDTF">1997-12-04T19:04:30Z</dcterms:created>
  <dcterms:modified xsi:type="dcterms:W3CDTF">2016-11-07T13:34:54Z</dcterms:modified>
</cp:coreProperties>
</file>