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4000" windowHeight="91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8" i="1" l="1"/>
  <c r="I526" i="1"/>
  <c r="G526" i="1"/>
  <c r="F526" i="1"/>
  <c r="F24" i="1"/>
  <c r="D9" i="13"/>
  <c r="F472" i="1"/>
  <c r="G197" i="1"/>
  <c r="F197" i="1" l="1"/>
  <c r="F9" i="1" l="1"/>
  <c r="F498" i="1" l="1"/>
  <c r="H233" i="1" l="1"/>
  <c r="K268" i="1"/>
  <c r="J472" i="1"/>
  <c r="J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112" i="1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L350" i="1"/>
  <c r="I665" i="1"/>
  <c r="I670" i="1"/>
  <c r="F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7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C113" i="2"/>
  <c r="E113" i="2"/>
  <c r="E114" i="2"/>
  <c r="D115" i="2"/>
  <c r="F115" i="2"/>
  <c r="G115" i="2"/>
  <c r="E118" i="2"/>
  <c r="E119" i="2"/>
  <c r="E120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19" i="1"/>
  <c r="H19" i="1"/>
  <c r="G619" i="1" s="1"/>
  <c r="I19" i="1"/>
  <c r="G620" i="1" s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H461" i="1" s="1"/>
  <c r="H641" i="1" s="1"/>
  <c r="F461" i="1"/>
  <c r="H639" i="1" s="1"/>
  <c r="J639" i="1" s="1"/>
  <c r="G461" i="1"/>
  <c r="F470" i="1"/>
  <c r="G470" i="1"/>
  <c r="G476" i="1" s="1"/>
  <c r="H623" i="1" s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J545" i="1" s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0" i="1"/>
  <c r="H640" i="1"/>
  <c r="G641" i="1"/>
  <c r="J641" i="1" s="1"/>
  <c r="G643" i="1"/>
  <c r="J643" i="1" s="1"/>
  <c r="H643" i="1"/>
  <c r="G644" i="1"/>
  <c r="G645" i="1"/>
  <c r="H647" i="1"/>
  <c r="G650" i="1"/>
  <c r="G651" i="1"/>
  <c r="G652" i="1"/>
  <c r="H652" i="1"/>
  <c r="G653" i="1"/>
  <c r="H653" i="1"/>
  <c r="G654" i="1"/>
  <c r="H654" i="1"/>
  <c r="H655" i="1"/>
  <c r="C26" i="10"/>
  <c r="L290" i="1"/>
  <c r="D12" i="13"/>
  <c r="C12" i="13" s="1"/>
  <c r="D18" i="2"/>
  <c r="D50" i="2"/>
  <c r="F18" i="2"/>
  <c r="E103" i="2"/>
  <c r="D91" i="2"/>
  <c r="G62" i="2"/>
  <c r="E78" i="2"/>
  <c r="H112" i="1"/>
  <c r="L433" i="1"/>
  <c r="D81" i="2"/>
  <c r="I169" i="1"/>
  <c r="H169" i="1"/>
  <c r="J476" i="1"/>
  <c r="H626" i="1" s="1"/>
  <c r="I476" i="1"/>
  <c r="H625" i="1" s="1"/>
  <c r="J625" i="1" s="1"/>
  <c r="J140" i="1"/>
  <c r="F571" i="1"/>
  <c r="G22" i="2"/>
  <c r="H140" i="1"/>
  <c r="A13" i="12"/>
  <c r="J640" i="1"/>
  <c r="H571" i="1"/>
  <c r="H338" i="1"/>
  <c r="H352" i="1" s="1"/>
  <c r="F338" i="1"/>
  <c r="F352" i="1" s="1"/>
  <c r="G192" i="1"/>
  <c r="H192" i="1"/>
  <c r="L309" i="1"/>
  <c r="L565" i="1"/>
  <c r="K549" i="1" l="1"/>
  <c r="L529" i="1"/>
  <c r="G545" i="1"/>
  <c r="F552" i="1"/>
  <c r="L614" i="1"/>
  <c r="J552" i="1"/>
  <c r="H545" i="1"/>
  <c r="K605" i="1"/>
  <c r="G648" i="1" s="1"/>
  <c r="K598" i="1"/>
  <c r="G647" i="1" s="1"/>
  <c r="J647" i="1" s="1"/>
  <c r="J651" i="1"/>
  <c r="L427" i="1"/>
  <c r="F476" i="1"/>
  <c r="H622" i="1" s="1"/>
  <c r="J622" i="1" s="1"/>
  <c r="C18" i="2"/>
  <c r="J623" i="1"/>
  <c r="K503" i="1"/>
  <c r="J644" i="1"/>
  <c r="L401" i="1"/>
  <c r="C139" i="2" s="1"/>
  <c r="J634" i="1"/>
  <c r="H661" i="1"/>
  <c r="J655" i="1"/>
  <c r="C132" i="2"/>
  <c r="L270" i="1"/>
  <c r="C21" i="10"/>
  <c r="C124" i="2"/>
  <c r="C122" i="2"/>
  <c r="C15" i="10"/>
  <c r="C12" i="10"/>
  <c r="C11" i="10"/>
  <c r="J257" i="1"/>
  <c r="J271" i="1" s="1"/>
  <c r="I257" i="1"/>
  <c r="I271" i="1" s="1"/>
  <c r="H257" i="1"/>
  <c r="H271" i="1" s="1"/>
  <c r="L247" i="1"/>
  <c r="H660" i="1" s="1"/>
  <c r="C10" i="10"/>
  <c r="F257" i="1"/>
  <c r="F271" i="1" s="1"/>
  <c r="E16" i="13"/>
  <c r="G649" i="1"/>
  <c r="J649" i="1" s="1"/>
  <c r="F662" i="1"/>
  <c r="I662" i="1" s="1"/>
  <c r="D15" i="13"/>
  <c r="C15" i="13" s="1"/>
  <c r="D14" i="13"/>
  <c r="C14" i="13" s="1"/>
  <c r="E13" i="13"/>
  <c r="C13" i="13" s="1"/>
  <c r="C19" i="10"/>
  <c r="C18" i="10"/>
  <c r="E8" i="13"/>
  <c r="C8" i="13" s="1"/>
  <c r="C17" i="10"/>
  <c r="D7" i="13"/>
  <c r="C7" i="13" s="1"/>
  <c r="C16" i="10"/>
  <c r="C118" i="2"/>
  <c r="D6" i="13"/>
  <c r="C6" i="13" s="1"/>
  <c r="K257" i="1"/>
  <c r="K271" i="1" s="1"/>
  <c r="A40" i="12"/>
  <c r="C111" i="2"/>
  <c r="A31" i="12"/>
  <c r="C109" i="2"/>
  <c r="G257" i="1"/>
  <c r="G271" i="1" s="1"/>
  <c r="J645" i="1"/>
  <c r="C91" i="2"/>
  <c r="C78" i="2"/>
  <c r="C81" i="2"/>
  <c r="C70" i="2"/>
  <c r="D62" i="2"/>
  <c r="D63" i="2" s="1"/>
  <c r="C62" i="2"/>
  <c r="C63" i="2"/>
  <c r="E128" i="2"/>
  <c r="E115" i="2"/>
  <c r="D5" i="13"/>
  <c r="C5" i="13" s="1"/>
  <c r="F22" i="13"/>
  <c r="C22" i="13" s="1"/>
  <c r="K550" i="1"/>
  <c r="D29" i="13"/>
  <c r="C29" i="13" s="1"/>
  <c r="G624" i="1"/>
  <c r="J624" i="1" s="1"/>
  <c r="L534" i="1"/>
  <c r="K500" i="1"/>
  <c r="I460" i="1"/>
  <c r="I452" i="1"/>
  <c r="I446" i="1"/>
  <c r="G642" i="1" s="1"/>
  <c r="C125" i="2"/>
  <c r="C123" i="2"/>
  <c r="C121" i="2"/>
  <c r="C119" i="2"/>
  <c r="C114" i="2"/>
  <c r="C110" i="2"/>
  <c r="G661" i="1"/>
  <c r="L211" i="1"/>
  <c r="C20" i="10"/>
  <c r="L362" i="1"/>
  <c r="G635" i="1" s="1"/>
  <c r="J635" i="1" s="1"/>
  <c r="C35" i="10"/>
  <c r="C29" i="10"/>
  <c r="L544" i="1"/>
  <c r="L524" i="1"/>
  <c r="J338" i="1"/>
  <c r="J352" i="1" s="1"/>
  <c r="D127" i="2"/>
  <c r="D128" i="2" s="1"/>
  <c r="D145" i="2" s="1"/>
  <c r="C120" i="2"/>
  <c r="C13" i="10"/>
  <c r="K551" i="1"/>
  <c r="H25" i="13"/>
  <c r="F169" i="1"/>
  <c r="E81" i="2"/>
  <c r="E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C36" i="10"/>
  <c r="G63" i="2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52" i="1"/>
  <c r="G571" i="1"/>
  <c r="I434" i="1"/>
  <c r="G434" i="1"/>
  <c r="I663" i="1"/>
  <c r="C27" i="10"/>
  <c r="L545" i="1" l="1"/>
  <c r="J648" i="1"/>
  <c r="F104" i="2"/>
  <c r="I461" i="1"/>
  <c r="H642" i="1" s="1"/>
  <c r="J642" i="1"/>
  <c r="L408" i="1"/>
  <c r="C141" i="2"/>
  <c r="C144" i="2" s="1"/>
  <c r="I661" i="1"/>
  <c r="H664" i="1"/>
  <c r="H667" i="1" s="1"/>
  <c r="E33" i="13"/>
  <c r="D35" i="13" s="1"/>
  <c r="L257" i="1"/>
  <c r="L271" i="1" s="1"/>
  <c r="G632" i="1" s="1"/>
  <c r="J632" i="1" s="1"/>
  <c r="C16" i="13"/>
  <c r="F660" i="1"/>
  <c r="G104" i="2"/>
  <c r="C39" i="10"/>
  <c r="F193" i="1"/>
  <c r="G627" i="1" s="1"/>
  <c r="J627" i="1" s="1"/>
  <c r="C104" i="2"/>
  <c r="C28" i="10"/>
  <c r="D19" i="10" s="1"/>
  <c r="D31" i="13"/>
  <c r="C31" i="13" s="1"/>
  <c r="G664" i="1"/>
  <c r="C115" i="2"/>
  <c r="C25" i="13"/>
  <c r="H33" i="13"/>
  <c r="K552" i="1"/>
  <c r="C128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H672" i="1"/>
  <c r="C6" i="10" s="1"/>
  <c r="C145" i="2"/>
  <c r="D27" i="10"/>
  <c r="D11" i="10"/>
  <c r="D23" i="10"/>
  <c r="D21" i="10"/>
  <c r="D10" i="10"/>
  <c r="D12" i="10"/>
  <c r="D26" i="10"/>
  <c r="D24" i="10"/>
  <c r="F664" i="1"/>
  <c r="I660" i="1"/>
  <c r="I664" i="1" s="1"/>
  <c r="I672" i="1" s="1"/>
  <c r="C7" i="10" s="1"/>
  <c r="D13" i="10"/>
  <c r="D17" i="10"/>
  <c r="D16" i="10"/>
  <c r="D18" i="10"/>
  <c r="C30" i="10"/>
  <c r="D22" i="10"/>
  <c r="D20" i="10"/>
  <c r="D15" i="10"/>
  <c r="D25" i="10"/>
  <c r="G672" i="1"/>
  <c r="C5" i="10" s="1"/>
  <c r="G667" i="1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<sst xmlns="http://schemas.openxmlformats.org/spreadsheetml/2006/main" count="3958" uniqueCount="916">
  <si>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</si>
  <si>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</si>
  <si>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</si>
  <si>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</si>
  <si>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</si>
  <si>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</si>
  <si>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</si>
  <si>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</si>
  <si>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</si>
  <si>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</si>
  <si>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</si>
  <si>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</si>
  <si>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</si>
  <si>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</si>
  <si>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</si>
  <si>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</si>
  <si>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</si>
  <si>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</si>
  <si>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</si>
  <si>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</si>
  <si>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</si>
  <si>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</si>
  <si>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</si>
  <si>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</si>
  <si>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</si>
  <si>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</si>
  <si>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</si>
  <si>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</si>
  <si>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</si>
  <si>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</si>
  <si>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</si>
  <si>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</si>
  <si>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</si>
  <si>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</si>
  <si>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</si>
  <si>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</si>
  <si>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</si>
  <si>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</si>
  <si>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</si>
  <si>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</si>
  <si>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</si>
  <si>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</si>
  <si>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</si>
  <si>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</si>
  <si>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</si>
  <si>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</si>
  <si>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</si>
  <si>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</si>
  <si>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</si>
  <si>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</si>
  <si>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</si>
  <si>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</si>
  <si>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</si>
  <si>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</si>
  <si>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</si>
  <si>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</si>
  <si>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</si>
  <si>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</si>
  <si>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</si>
  <si>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</si>
  <si>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</si>
  <si>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</si>
  <si>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</si>
  <si>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</si>
  <si>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</si>
  <si>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</si>
  <si>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</si>
  <si>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</si>
  <si>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</si>
  <si>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</si>
  <si>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</si>
  <si>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</si>
  <si>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</si>
  <si>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</si>
  <si>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</si>
  <si>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</si>
  <si>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</si>
  <si>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</si>
  <si>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</si>
  <si>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</si>
  <si>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</si>
  <si>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</si>
  <si>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</si>
  <si>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</si>
  <si>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</si>
  <si>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</si>
  <si>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</si>
  <si>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</si>
  <si>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</si>
  <si>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</si>
  <si>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</si>
  <si>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</si>
  <si>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</si>
  <si>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</si>
  <si>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</si>
  <si>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</si>
  <si>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</si>
  <si>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</si>
  <si>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</si>
  <si>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</si>
  <si>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</si>
  <si>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</si>
  <si>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</si>
  <si>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</si>
  <si>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</si>
  <si>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</si>
  <si>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</si>
  <si>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</si>
  <si>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</si>
  <si>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</si>
  <si>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</si>
  <si>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</si>
  <si>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</si>
  <si>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</si>
  <si>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</si>
  <si>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</si>
  <si>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</si>
  <si>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</si>
  <si>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</si>
  <si>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</si>
  <si>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</si>
  <si>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</si>
  <si>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</si>
  <si>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</si>
  <si>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</si>
  <si>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</si>
  <si>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</si>
  <si>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</si>
  <si>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</si>
  <si>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</si>
  <si>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</si>
  <si>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</si>
  <si>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</si>
  <si>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</si>
  <si>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</si>
  <si>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</si>
  <si>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</si>
  <si>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</si>
  <si>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</si>
  <si>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</si>
  <si>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</si>
  <si>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</si>
  <si>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</si>
  <si>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</si>
  <si>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</si>
  <si>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</si>
  <si>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</si>
  <si>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</si>
  <si>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</si>
  <si>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</si>
  <si>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</si>
  <si>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</si>
  <si>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</si>
  <si>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</si>
  <si>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</si>
  <si>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</si>
  <si>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</si>
  <si>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</si>
  <si>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</si>
  <si>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</si>
  <si>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</si>
  <si>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</si>
  <si>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</si>
  <si>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</si>
  <si>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</si>
  <si>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</si>
  <si>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</si>
  <si>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</si>
  <si>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</si>
  <si>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</si>
  <si>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</si>
  <si>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</si>
  <si>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</si>
  <si>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</si>
  <si>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</si>
  <si>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</si>
  <si>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</si>
  <si>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</si>
  <si>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</si>
  <si>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</si>
  <si>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</si>
  <si>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</si>
  <si>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</si>
  <si>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</si>
  <si>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</si>
  <si>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</si>
  <si>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</si>
  <si>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</si>
  <si>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</si>
  <si>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</si>
  <si>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</si>
  <si>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</si>
  <si>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</si>
  <si>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</si>
  <si>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</si>
  <si>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</si>
  <si>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</si>
  <si>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</si>
  <si>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</si>
  <si>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</si>
  <si>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</si>
  <si>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</si>
  <si>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</si>
  <si>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</si>
  <si>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</si>
  <si>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</si>
  <si>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</si>
  <si>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</si>
  <si>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</si>
  <si>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</si>
  <si>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</si>
  <si>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</si>
  <si>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</si>
  <si>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</si>
  <si>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</si>
  <si>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</si>
  <si>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</si>
  <si>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</si>
  <si>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</si>
  <si>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</si>
  <si>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</si>
  <si>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</si>
  <si>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</si>
  <si>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</si>
  <si>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</si>
  <si>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</si>
  <si>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</si>
  <si>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</si>
  <si>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</si>
  <si>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</si>
  <si>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</si>
  <si>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</si>
  <si>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</si>
  <si>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</si>
  <si>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</si>
  <si>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</si>
  <si>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</si>
  <si>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</si>
  <si>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</si>
  <si>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</si>
  <si>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</si>
  <si>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</si>
  <si>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</si>
  <si>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</si>
  <si>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</si>
  <si>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</si>
  <si>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</si>
  <si>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</si>
  <si>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</si>
  <si>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</si>
  <si>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</si>
  <si>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</si>
  <si>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</si>
  <si>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</si>
  <si>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</si>
  <si>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</si>
  <si>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</si>
  <si>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</si>
  <si>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</si>
  <si>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</si>
  <si>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</si>
  <si>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</si>
  <si>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</si>
  <si>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</si>
  <si>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</si>
  <si>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</si>
  <si>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</si>
  <si>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</si>
  <si>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</si>
  <si>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</si>
  <si>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</si>
  <si>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</si>
  <si>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</si>
  <si>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</si>
  <si>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</si>
  <si>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</si>
  <si>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</si>
  <si>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</si>
  <si>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</si>
  <si>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</si>
  <si>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</si>
  <si>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</si>
  <si>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</si>
  <si>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</si>
  <si>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</si>
  <si>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</si>
  <si>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</si>
  <si>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</si>
  <si>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</si>
  <si>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</si>
  <si>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</si>
  <si>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</si>
  <si>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</si>
  <si>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</si>
  <si>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</si>
  <si>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</si>
  <si>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</si>
  <si>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</si>
  <si>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</si>
  <si>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</si>
  <si>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</si>
  <si>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</si>
  <si>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</si>
  <si>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</si>
  <si>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</si>
  <si>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</si>
  <si>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</si>
  <si>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</si>
  <si>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</si>
  <si>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</si>
  <si>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</si>
  <si>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</si>
  <si>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</si>
  <si>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</si>
  <si>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</si>
  <si>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</si>
  <si>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</si>
  <si>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</si>
  <si>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</si>
  <si>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</si>
  <si>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</si>
  <si>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</si>
  <si>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</si>
  <si>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</si>
  <si>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</si>
  <si>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</si>
  <si>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</si>
  <si>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</si>
  <si>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</si>
  <si>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</si>
  <si>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</si>
  <si>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</si>
  <si>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</si>
  <si>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</si>
  <si>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</si>
  <si>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</si>
  <si>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</si>
  <si>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</si>
  <si>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</si>
  <si>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</si>
  <si>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</si>
  <si>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</si>
  <si>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</si>
  <si>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</si>
  <si>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</si>
  <si>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</si>
  <si>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</si>
  <si>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</si>
  <si>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</si>
  <si>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</si>
  <si>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</si>
  <si>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</si>
  <si>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</si>
  <si>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</si>
  <si>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</si>
  <si>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</si>
  <si>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</si>
  <si>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</si>
  <si>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</si>
  <si>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</si>
  <si>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</si>
  <si>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</si>
  <si>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</si>
  <si>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</si>
  <si>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</si>
  <si>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</si>
  <si>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</si>
  <si>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</si>
  <si>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</si>
  <si>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</si>
  <si>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</si>
  <si>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</si>
  <si>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</si>
  <si>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</si>
  <si>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</si>
  <si>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</si>
  <si>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</si>
  <si>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</si>
  <si>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</si>
  <si>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</si>
  <si>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</si>
  <si>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</si>
  <si>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</si>
  <si>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</si>
  <si>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</si>
  <si>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</si>
  <si>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</si>
  <si>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</si>
  <si>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</si>
  <si>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</si>
  <si>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</si>
  <si>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</si>
  <si>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</si>
  <si>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</si>
  <si>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</si>
  <si>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</si>
  <si>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</si>
  <si>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</si>
  <si>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</si>
  <si>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</si>
  <si>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</si>
  <si>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</si>
  <si>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</si>
  <si>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</si>
  <si>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</si>
  <si>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</si>
  <si>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</si>
  <si>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</si>
  <si>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</si>
  <si>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</si>
  <si>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</si>
  <si>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</si>
  <si>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</si>
  <si>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</si>
  <si>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</si>
  <si>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</si>
  <si>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</si>
  <si>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</si>
  <si>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</si>
  <si>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</si>
  <si>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</si>
  <si>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</si>
  <si>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</si>
  <si>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</si>
  <si>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</si>
  <si>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</si>
  <si>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</si>
  <si>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</si>
  <si>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</si>
  <si>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</si>
  <si>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</si>
  <si>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</si>
  <si>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</si>
  <si>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</si>
  <si>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</si>
  <si>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</si>
  <si>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</si>
  <si>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</si>
  <si>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</si>
  <si>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</si>
  <si>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</si>
  <si>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</si>
  <si>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</si>
  <si>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</si>
  <si>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</si>
  <si>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</si>
  <si>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</si>
  <si>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</si>
  <si>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</si>
  <si>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</si>
  <si>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</si>
  <si>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</si>
  <si>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</si>
  <si>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</si>
  <si>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</si>
  <si>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</si>
  <si>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</si>
  <si>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</si>
  <si>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</si>
  <si>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</si>
  <si>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</si>
  <si>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</si>
  <si>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</si>
  <si>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</si>
  <si>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</si>
  <si>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</si>
  <si>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</si>
  <si>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</si>
  <si>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</si>
  <si>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</si>
  <si>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</si>
  <si>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</si>
  <si>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</si>
  <si>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</si>
  <si>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</si>
  <si>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</si>
  <si>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</si>
  <si>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</si>
  <si>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</si>
  <si>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</si>
  <si>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</si>
  <si>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</si>
  <si>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</si>
  <si>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</si>
  <si>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</si>
  <si>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</si>
  <si>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</si>
  <si>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</si>
  <si>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</si>
  <si>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</si>
  <si>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</si>
  <si>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</si>
  <si>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</si>
  <si>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</si>
  <si>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</si>
  <si>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</si>
  <si>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</si>
  <si>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</si>
  <si>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</si>
  <si>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</si>
  <si>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</si>
  <si>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</si>
  <si>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</si>
  <si>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</si>
  <si>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</si>
  <si>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</si>
  <si>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</si>
  <si>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</si>
  <si>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</si>
  <si>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</si>
  <si>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</si>
  <si>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</si>
  <si>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</si>
  <si>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</si>
  <si>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</si>
  <si>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</si>
  <si>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</si>
  <si>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</si>
  <si>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</si>
  <si>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</si>
  <si>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</si>
  <si>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</si>
  <si>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</si>
  <si>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</si>
  <si>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</si>
  <si>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</si>
  <si>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</si>
  <si>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</si>
  <si>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</si>
  <si>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</si>
  <si>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</si>
  <si>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</si>
  <si>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</si>
  <si>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</si>
  <si>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</si>
  <si>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</si>
  <si>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</si>
  <si>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</si>
  <si>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</si>
  <si>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</si>
  <si>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</si>
  <si>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</si>
  <si>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</si>
  <si>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</si>
  <si>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</si>
  <si>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</si>
  <si>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</si>
  <si>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</si>
  <si>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</si>
  <si>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</si>
  <si>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</si>
  <si>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</si>
  <si>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</si>
  <si>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</si>
  <si>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</si>
  <si>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</si>
  <si>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</si>
  <si>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</si>
  <si>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</si>
  <si>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</si>
  <si>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</si>
  <si>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</si>
  <si>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</si>
  <si>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</si>
  <si>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</si>
  <si>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</si>
  <si>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</si>
  <si>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</si>
  <si>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</si>
  <si>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</si>
  <si>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</si>
  <si>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</si>
  <si>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</si>
  <si>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</si>
  <si>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</si>
  <si>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</si>
  <si>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</si>
  <si>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</si>
  <si>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</si>
  <si>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</si>
  <si>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</si>
  <si>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</si>
  <si>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</si>
  <si>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</si>
  <si>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</si>
  <si>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</si>
  <si>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</si>
  <si>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</si>
  <si>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</si>
  <si>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</si>
  <si>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</si>
  <si>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</si>
  <si>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</si>
  <si>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</si>
  <si>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</si>
  <si>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</si>
  <si>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</si>
  <si>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</si>
  <si>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</si>
  <si>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</si>
  <si>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</si>
  <si>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</si>
  <si>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</si>
  <si>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</si>
  <si>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</si>
  <si>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</si>
  <si>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</si>
  <si>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</si>
  <si>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</si>
  <si>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</si>
  <si>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</si>
  <si>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</si>
  <si>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</si>
  <si>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</si>
  <si>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</si>
  <si>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</si>
  <si>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</si>
  <si>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</si>
  <si>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</si>
  <si>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</si>
  <si>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</si>
  <si>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</si>
  <si>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</si>
  <si>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</si>
  <si>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</si>
  <si>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</si>
  <si>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</si>
  <si>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</si>
  <si>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</si>
  <si>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</si>
  <si>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</si>
  <si>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</si>
  <si>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</si>
  <si>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</si>
  <si>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</si>
  <si>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</si>
  <si>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</si>
  <si>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</si>
  <si>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</si>
  <si>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</si>
  <si>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</si>
  <si>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</si>
  <si>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</si>
  <si>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</si>
  <si>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</si>
  <si>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</si>
  <si>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</si>
  <si>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</si>
  <si>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</si>
  <si>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</si>
  <si>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</si>
  <si>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</si>
  <si>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</si>
  <si>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</si>
  <si>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</si>
  <si>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</si>
  <si>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</si>
  <si>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</si>
  <si>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</si>
  <si>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</si>
  <si>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</si>
  <si>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</si>
  <si>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</si>
  <si>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</si>
  <si>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</si>
  <si>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</si>
  <si>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</si>
  <si>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</si>
  <si>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</si>
  <si>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</si>
  <si>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</si>
  <si>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</si>
  <si>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</si>
  <si>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</si>
  <si>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</si>
  <si>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</si>
  <si>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</si>
  <si>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</si>
  <si>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</si>
  <si>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</si>
  <si>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</si>
  <si>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</si>
  <si>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</si>
  <si>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</si>
  <si>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</si>
  <si>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</si>
  <si>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</si>
  <si>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</si>
  <si>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</si>
  <si>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</si>
  <si>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</si>
  <si>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</si>
  <si>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</si>
  <si>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</si>
  <si>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</si>
  <si>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</si>
  <si>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</si>
  <si>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</si>
  <si>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</si>
  <si>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</si>
  <si>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</si>
  <si>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</si>
  <si>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</si>
  <si>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</si>
  <si>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</si>
  <si>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</si>
  <si>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</si>
  <si>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</si>
  <si>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</si>
  <si>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</si>
  <si>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</si>
  <si>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</si>
  <si>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</si>
  <si>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</si>
  <si>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</si>
  <si>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</si>
  <si>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</si>
  <si>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</si>
  <si>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</si>
  <si>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</si>
  <si>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</si>
  <si>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</si>
  <si>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</si>
  <si>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</si>
  <si>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</si>
  <si>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</si>
  <si>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</si>
  <si>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</si>
  <si>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</si>
  <si>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</si>
  <si>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</si>
  <si>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</si>
  <si>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</si>
  <si>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</si>
  <si>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</si>
  <si>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</si>
  <si>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</si>
  <si>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</si>
  <si>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</si>
  <si>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</si>
  <si>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</si>
  <si>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</si>
  <si>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</si>
  <si>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</si>
  <si>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</si>
  <si>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</si>
  <si>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</si>
  <si>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</si>
  <si>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</si>
  <si>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</si>
  <si>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</si>
  <si>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</si>
  <si>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</si>
  <si>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</si>
  <si>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</si>
  <si>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</si>
  <si>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</si>
  <si>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</si>
  <si>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</si>
  <si>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</si>
  <si>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</si>
  <si>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</si>
  <si>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</si>
  <si>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</si>
  <si>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</si>
  <si>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</si>
  <si>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</si>
  <si>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</si>
  <si>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</si>
  <si>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</si>
  <si>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</si>
  <si>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</si>
  <si>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</si>
  <si>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</si>
  <si>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</si>
  <si>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</si>
  <si>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</si>
  <si>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</si>
  <si>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</si>
  <si>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</si>
  <si>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</si>
  <si>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</si>
  <si>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</si>
  <si>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</si>
  <si>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</si>
  <si>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</si>
  <si>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</si>
  <si>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</si>
  <si>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</si>
  <si>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</si>
  <si>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</si>
  <si>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</si>
  <si>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</si>
  <si>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</si>
  <si>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</si>
  <si>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</si>
  <si>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</si>
  <si>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</si>
  <si>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</si>
  <si>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</si>
  <si>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</si>
  <si>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</si>
  <si>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</si>
  <si>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</si>
  <si>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</si>
  <si>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</si>
  <si>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</si>
  <si>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</si>
  <si>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</si>
  <si>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</si>
  <si>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</si>
  <si>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</si>
  <si>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</si>
  <si>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</si>
  <si>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</si>
  <si>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</si>
  <si>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</si>
  <si>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</si>
  <si>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</si>
  <si>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</si>
  <si>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</si>
  <si>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</si>
  <si>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</si>
  <si>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</si>
  <si>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</si>
  <si>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</si>
  <si>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</si>
  <si>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</si>
  <si>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</si>
  <si>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</si>
  <si>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</si>
  <si>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</si>
  <si>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</si>
  <si>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</si>
  <si>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</si>
  <si>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</si>
  <si>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</si>
  <si>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</si>
  <si>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</si>
  <si>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</si>
  <si>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</si>
  <si>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</si>
  <si>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</si>
  <si>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</si>
  <si>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</si>
  <si>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</si>
  <si>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</si>
  <si>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</si>
  <si>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</si>
  <si>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</si>
  <si>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</si>
  <si>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</si>
  <si>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</si>
  <si>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</si>
  <si>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</si>
  <si>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</si>
  <si>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</si>
  <si>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</si>
  <si>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</si>
  <si>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</si>
  <si>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</si>
  <si>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</si>
  <si>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</si>
  <si>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</si>
  <si>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</si>
  <si>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</si>
  <si>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</si>
  <si>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</si>
  <si>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</si>
  <si>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</si>
  <si>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</si>
  <si>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</si>
  <si>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</si>
  <si>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</si>
  <si>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</si>
  <si>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</si>
  <si>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</si>
  <si>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</si>
  <si>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</si>
  <si>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</si>
  <si>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</si>
  <si>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</si>
  <si>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</si>
  <si>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</si>
  <si>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</si>
  <si>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</si>
  <si>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</si>
  <si>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</si>
  <si>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</si>
  <si>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</si>
  <si>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</si>
  <si>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</si>
  <si>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</si>
  <si>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</si>
  <si>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</si>
  <si>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</si>
  <si>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</si>
  <si>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</si>
  <si>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</si>
  <si>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</si>
  <si>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</si>
  <si>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</si>
  <si>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</si>
  <si>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</si>
  <si>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</si>
  <si>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</si>
  <si>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</si>
  <si>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</si>
  <si>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</si>
  <si>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</si>
  <si>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</si>
  <si>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</si>
  <si>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Strafford School District</t>
  </si>
  <si>
    <t>08/10</t>
  </si>
  <si>
    <t>08/30</t>
  </si>
  <si>
    <t>Due to Health Trust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</si>
</sst>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507</v>
      </c>
      <c r="C2" s="21">
        <v>507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830165.03+75000</f>
        <v>905165.03</v>
      </c>
      <c r="G9" s="18"/>
      <c r="H9" s="18"/>
      <c r="I9" s="18"/>
      <c r="J9" s="67">
        <f>SUM(I439)</f>
        <v>419334.88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7545.1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23997.49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12320.29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929162.52</v>
      </c>
      <c r="G19" s="41">
        <f>SUM(G9:G18)</f>
        <v>19865.39</v>
      </c>
      <c r="H19" s="41">
        <f>SUM(H9:H18)</f>
        <v>0</v>
      </c>
      <c r="I19" s="41">
        <f>SUM(I9:I18)</f>
        <v>0</v>
      </c>
      <c r="J19" s="41">
        <f>SUM(J9:J18)</f>
        <v>419334.88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7545.1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86761.23+4758.64-12241.29-7545.1+19166</f>
        <v>90899.479999999981</v>
      </c>
      <c r="G24" s="18">
        <v>7545.1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98444.579999999987</v>
      </c>
      <c r="G32" s="41">
        <f>SUM(G22:G31)</f>
        <v>7545.1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12320.29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419334.88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780717.94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830717.94</v>
      </c>
      <c r="G51" s="41">
        <f>SUM(G35:G50)</f>
        <v>12320.29</v>
      </c>
      <c r="H51" s="41">
        <f>SUM(H35:H50)</f>
        <v>0</v>
      </c>
      <c r="I51" s="41">
        <f>SUM(I35:I50)</f>
        <v>0</v>
      </c>
      <c r="J51" s="41">
        <f>SUM(J35:J50)</f>
        <v>419334.88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929162.5199999999</v>
      </c>
      <c r="G52" s="41">
        <f>G51+G32</f>
        <v>19865.39</v>
      </c>
      <c r="H52" s="41">
        <f>H51+H32</f>
        <v>0</v>
      </c>
      <c r="I52" s="41">
        <f>I51+I32</f>
        <v>0</v>
      </c>
      <c r="J52" s="41">
        <f>J51+J32</f>
        <v>419334.88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6643943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6643943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16102.8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16102.8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141.9</v>
      </c>
      <c r="G96" s="18"/>
      <c r="H96" s="18"/>
      <c r="I96" s="18"/>
      <c r="J96" s="18">
        <v>1453.51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103842.71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2900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89380.800000000003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92422.7</v>
      </c>
      <c r="G111" s="41">
        <f>SUM(G96:G110)</f>
        <v>103842.71</v>
      </c>
      <c r="H111" s="41">
        <f>SUM(H96:H110)</f>
        <v>0</v>
      </c>
      <c r="I111" s="41">
        <f>SUM(I96:I110)</f>
        <v>0</v>
      </c>
      <c r="J111" s="41">
        <f>SUM(J96:J110)</f>
        <v>1453.51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6752468.5</v>
      </c>
      <c r="G112" s="41">
        <f>G60+G111</f>
        <v>103842.71</v>
      </c>
      <c r="H112" s="41">
        <f>H60+H79+H94+H111</f>
        <v>0</v>
      </c>
      <c r="I112" s="41">
        <f>I60+I111</f>
        <v>0</v>
      </c>
      <c r="J112" s="41">
        <f>J60+J111</f>
        <v>1453.51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2247082.4500000002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1047131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3294213.45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65482.5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2759.41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65482.5</v>
      </c>
      <c r="G136" s="41">
        <f>SUM(G123:G135)</f>
        <v>2759.41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3359695.95</v>
      </c>
      <c r="G140" s="41">
        <f>G121+SUM(G136:G137)</f>
        <v>2759.41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43779.09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37515.43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37515.43</v>
      </c>
      <c r="G162" s="41">
        <f>SUM(G150:G161)</f>
        <v>43779.09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37515.43</v>
      </c>
      <c r="G169" s="41">
        <f>G147+G162+SUM(G163:G168)</f>
        <v>43779.09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39517.15</v>
      </c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39517.15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39517.15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10189197.029999999</v>
      </c>
      <c r="G193" s="47">
        <f>G112+G140+G169+G192</f>
        <v>150381.21000000002</v>
      </c>
      <c r="H193" s="47">
        <f>H112+H140+H169+H192</f>
        <v>0</v>
      </c>
      <c r="I193" s="47">
        <f>I112+I140+I169+I192</f>
        <v>0</v>
      </c>
      <c r="J193" s="47">
        <f>J112+J140+J192</f>
        <v>51453.51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1812696.08-0.1</f>
        <v>1812695.98</v>
      </c>
      <c r="G197" s="18">
        <f>891226.69-32892.61</f>
        <v>858334.08</v>
      </c>
      <c r="H197" s="18">
        <v>15810.36</v>
      </c>
      <c r="I197" s="18">
        <v>50877.72</v>
      </c>
      <c r="J197" s="18">
        <v>61594.28</v>
      </c>
      <c r="K197" s="18">
        <v>203</v>
      </c>
      <c r="L197" s="19">
        <f>SUM(F197:K197)</f>
        <v>2799515.42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526285.39</v>
      </c>
      <c r="G198" s="18">
        <v>321007.48</v>
      </c>
      <c r="H198" s="18">
        <v>79163.34</v>
      </c>
      <c r="I198" s="18">
        <v>2974.59</v>
      </c>
      <c r="J198" s="18">
        <v>6727.56</v>
      </c>
      <c r="K198" s="18">
        <v>125</v>
      </c>
      <c r="L198" s="19">
        <f>SUM(F198:K198)</f>
        <v>936283.36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32855</v>
      </c>
      <c r="G200" s="18">
        <v>6418.7</v>
      </c>
      <c r="H200" s="18">
        <v>5726</v>
      </c>
      <c r="I200" s="18">
        <v>4156.21</v>
      </c>
      <c r="J200" s="18">
        <v>0</v>
      </c>
      <c r="K200" s="18">
        <v>1846.5</v>
      </c>
      <c r="L200" s="19">
        <f>SUM(F200:K200)</f>
        <v>51002.409999999996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246973.33</v>
      </c>
      <c r="G202" s="18">
        <v>98507.26</v>
      </c>
      <c r="H202" s="18">
        <v>85941.81</v>
      </c>
      <c r="I202" s="18">
        <v>2262.88</v>
      </c>
      <c r="J202" s="18">
        <v>375</v>
      </c>
      <c r="K202" s="18">
        <v>750</v>
      </c>
      <c r="L202" s="19">
        <f t="shared" ref="L202:L208" si="0">SUM(F202:K202)</f>
        <v>434810.27999999997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70823.289999999994</v>
      </c>
      <c r="G203" s="18">
        <v>32074.9</v>
      </c>
      <c r="H203" s="18">
        <v>11799.72</v>
      </c>
      <c r="I203" s="18">
        <v>32279.71</v>
      </c>
      <c r="J203" s="18">
        <v>741.65</v>
      </c>
      <c r="K203" s="18">
        <v>0</v>
      </c>
      <c r="L203" s="19">
        <f t="shared" si="0"/>
        <v>147719.26999999999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8046.99</v>
      </c>
      <c r="G204" s="18">
        <v>615.99</v>
      </c>
      <c r="H204" s="18">
        <v>259440.57</v>
      </c>
      <c r="I204" s="18">
        <v>0</v>
      </c>
      <c r="J204" s="18">
        <v>0</v>
      </c>
      <c r="K204" s="18">
        <v>3647.94</v>
      </c>
      <c r="L204" s="19">
        <f t="shared" si="0"/>
        <v>271751.49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290366.95</v>
      </c>
      <c r="G205" s="18">
        <v>148535.63</v>
      </c>
      <c r="H205" s="18">
        <v>6242.23</v>
      </c>
      <c r="I205" s="18">
        <v>34.99</v>
      </c>
      <c r="J205" s="18">
        <v>0</v>
      </c>
      <c r="K205" s="18">
        <v>3457.48</v>
      </c>
      <c r="L205" s="19">
        <f t="shared" si="0"/>
        <v>448637.27999999997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126520.96000000001</v>
      </c>
      <c r="G207" s="18">
        <v>70236.08</v>
      </c>
      <c r="H207" s="18">
        <v>161567.89000000001</v>
      </c>
      <c r="I207" s="18">
        <v>112979.57</v>
      </c>
      <c r="J207" s="18">
        <v>10608.71</v>
      </c>
      <c r="K207" s="18">
        <v>0</v>
      </c>
      <c r="L207" s="19">
        <f t="shared" si="0"/>
        <v>481913.21000000008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192903.5</v>
      </c>
      <c r="I208" s="18">
        <v>0</v>
      </c>
      <c r="J208" s="18">
        <v>0</v>
      </c>
      <c r="K208" s="18">
        <v>0</v>
      </c>
      <c r="L208" s="19">
        <f t="shared" si="0"/>
        <v>192903.5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3114567.8900000006</v>
      </c>
      <c r="G211" s="41">
        <f t="shared" si="1"/>
        <v>1535730.12</v>
      </c>
      <c r="H211" s="41">
        <f t="shared" si="1"/>
        <v>818595.42</v>
      </c>
      <c r="I211" s="41">
        <f t="shared" si="1"/>
        <v>205565.66999999998</v>
      </c>
      <c r="J211" s="41">
        <f t="shared" si="1"/>
        <v>80047.199999999983</v>
      </c>
      <c r="K211" s="41">
        <f t="shared" si="1"/>
        <v>10029.92</v>
      </c>
      <c r="L211" s="41">
        <f t="shared" si="1"/>
        <v>5764536.2199999997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f>3257374.46-3000-1875</f>
        <v>3252499.46</v>
      </c>
      <c r="I233" s="18">
        <v>0</v>
      </c>
      <c r="J233" s="18">
        <v>0</v>
      </c>
      <c r="K233" s="18">
        <v>0</v>
      </c>
      <c r="L233" s="19">
        <f>SUM(F233:K233)</f>
        <v>3252499.46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316701.12</v>
      </c>
      <c r="I234" s="18">
        <v>0</v>
      </c>
      <c r="J234" s="18">
        <v>0</v>
      </c>
      <c r="K234" s="18">
        <v>0</v>
      </c>
      <c r="L234" s="19">
        <f>SUM(F234:K234)</f>
        <v>316701.12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4726.01</v>
      </c>
      <c r="G240" s="18">
        <v>361.53</v>
      </c>
      <c r="H240" s="18">
        <v>152369.85999999999</v>
      </c>
      <c r="I240" s="18">
        <v>0</v>
      </c>
      <c r="J240" s="18">
        <v>0</v>
      </c>
      <c r="K240" s="18">
        <v>2142.44</v>
      </c>
      <c r="L240" s="19">
        <f t="shared" si="4"/>
        <v>159599.84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131671.13</v>
      </c>
      <c r="I244" s="18">
        <v>0</v>
      </c>
      <c r="J244" s="18">
        <v>0</v>
      </c>
      <c r="K244" s="18">
        <v>0</v>
      </c>
      <c r="L244" s="19">
        <f t="shared" si="4"/>
        <v>131671.13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4726.01</v>
      </c>
      <c r="G247" s="41">
        <f t="shared" si="5"/>
        <v>361.53</v>
      </c>
      <c r="H247" s="41">
        <f t="shared" si="5"/>
        <v>3853241.57</v>
      </c>
      <c r="I247" s="41">
        <f t="shared" si="5"/>
        <v>0</v>
      </c>
      <c r="J247" s="41">
        <f t="shared" si="5"/>
        <v>0</v>
      </c>
      <c r="K247" s="41">
        <f t="shared" si="5"/>
        <v>2142.44</v>
      </c>
      <c r="L247" s="41">
        <f t="shared" si="5"/>
        <v>3860471.55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3119293.9000000004</v>
      </c>
      <c r="G257" s="41">
        <f t="shared" si="8"/>
        <v>1536091.6500000001</v>
      </c>
      <c r="H257" s="41">
        <f t="shared" si="8"/>
        <v>4671836.99</v>
      </c>
      <c r="I257" s="41">
        <f t="shared" si="8"/>
        <v>205565.66999999998</v>
      </c>
      <c r="J257" s="41">
        <f t="shared" si="8"/>
        <v>80047.199999999983</v>
      </c>
      <c r="K257" s="41">
        <f t="shared" si="8"/>
        <v>12172.36</v>
      </c>
      <c r="L257" s="41">
        <f t="shared" si="8"/>
        <v>9625007.7699999996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200000</v>
      </c>
      <c r="L260" s="19">
        <f>SUM(F260:K260)</f>
        <v>200000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208087.5</v>
      </c>
      <c r="L261" s="19">
        <f>SUM(F261:K261)</f>
        <v>208087.5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f>3000+1875</f>
        <v>4875</v>
      </c>
      <c r="L268" s="19">
        <f t="shared" si="9"/>
        <v>4875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462962.5</v>
      </c>
      <c r="L270" s="41">
        <f t="shared" si="9"/>
        <v>462962.5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3119293.9000000004</v>
      </c>
      <c r="G271" s="42">
        <f t="shared" si="11"/>
        <v>1536091.6500000001</v>
      </c>
      <c r="H271" s="42">
        <f t="shared" si="11"/>
        <v>4671836.99</v>
      </c>
      <c r="I271" s="42">
        <f t="shared" si="11"/>
        <v>205565.66999999998</v>
      </c>
      <c r="J271" s="42">
        <f t="shared" si="11"/>
        <v>80047.199999999983</v>
      </c>
      <c r="K271" s="42">
        <f t="shared" si="11"/>
        <v>475134.86</v>
      </c>
      <c r="L271" s="42">
        <f t="shared" si="11"/>
        <v>10087970.27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67730.67</v>
      </c>
      <c r="G358" s="18">
        <v>10944.23</v>
      </c>
      <c r="H358" s="18">
        <v>120</v>
      </c>
      <c r="I358" s="18">
        <v>65163.43</v>
      </c>
      <c r="J358" s="18">
        <v>1715</v>
      </c>
      <c r="K358" s="18">
        <v>49.5</v>
      </c>
      <c r="L358" s="13">
        <f>SUM(F358:K358)</f>
        <v>145722.82999999999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39517.15</v>
      </c>
      <c r="L361" s="13">
        <f>SUM(F361:K361)</f>
        <v>39517.15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67730.67</v>
      </c>
      <c r="G362" s="47">
        <f t="shared" si="22"/>
        <v>10944.23</v>
      </c>
      <c r="H362" s="47">
        <f t="shared" si="22"/>
        <v>120</v>
      </c>
      <c r="I362" s="47">
        <f t="shared" si="22"/>
        <v>65163.43</v>
      </c>
      <c r="J362" s="47">
        <f t="shared" si="22"/>
        <v>1715</v>
      </c>
      <c r="K362" s="47">
        <f t="shared" si="22"/>
        <v>39566.65</v>
      </c>
      <c r="L362" s="47">
        <f t="shared" si="22"/>
        <v>185239.97999999998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64167.17</v>
      </c>
      <c r="G367" s="18">
        <v>0</v>
      </c>
      <c r="H367" s="18">
        <v>0</v>
      </c>
      <c r="I367" s="56">
        <f>SUM(F367:H367)</f>
        <v>64167.17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996.26</v>
      </c>
      <c r="G368" s="63">
        <v>0</v>
      </c>
      <c r="H368" s="63">
        <v>0</v>
      </c>
      <c r="I368" s="56">
        <f>SUM(F368:H368)</f>
        <v>996.26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65163.43</v>
      </c>
      <c r="G369" s="47">
        <f>SUM(G367:G368)</f>
        <v>0</v>
      </c>
      <c r="H369" s="47">
        <f>SUM(H367:H368)</f>
        <v>0</v>
      </c>
      <c r="I369" s="47">
        <f>SUM(I367:I368)</f>
        <v>65163.43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72976.820000000007</v>
      </c>
      <c r="L381" s="13">
        <f t="shared" si="23"/>
        <v>72976.820000000007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72976.820000000007</v>
      </c>
      <c r="L382" s="47">
        <f t="shared" si="24"/>
        <v>72976.820000000007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1007.16</v>
      </c>
      <c r="I396" s="18"/>
      <c r="J396" s="24" t="s">
        <v>289</v>
      </c>
      <c r="K396" s="24" t="s">
        <v>289</v>
      </c>
      <c r="L396" s="56">
        <f t="shared" si="26"/>
        <v>26007.16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446.35</v>
      </c>
      <c r="I397" s="18"/>
      <c r="J397" s="24" t="s">
        <v>289</v>
      </c>
      <c r="K397" s="24" t="s">
        <v>289</v>
      </c>
      <c r="L397" s="56">
        <f t="shared" si="26"/>
        <v>25446.35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1453.51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51453.509999999995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1453.51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51453.509999999995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155177.38</v>
      </c>
      <c r="I422" s="18"/>
      <c r="J422" s="18"/>
      <c r="K422" s="18"/>
      <c r="L422" s="56">
        <f t="shared" si="29"/>
        <v>155177.38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155177.38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155177.38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155177.38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155177.38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419334.88</v>
      </c>
      <c r="G439" s="18"/>
      <c r="H439" s="18"/>
      <c r="I439" s="56">
        <f t="shared" ref="I439:I445" si="33">SUM(F439:H439)</f>
        <v>419334.88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419334.88</v>
      </c>
      <c r="G446" s="13">
        <f>SUM(G439:G445)</f>
        <v>0</v>
      </c>
      <c r="H446" s="13">
        <f>SUM(H439:H445)</f>
        <v>0</v>
      </c>
      <c r="I446" s="13">
        <f>SUM(I439:I445)</f>
        <v>419334.88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419334.88</v>
      </c>
      <c r="G459" s="18"/>
      <c r="H459" s="18"/>
      <c r="I459" s="56">
        <f t="shared" si="34"/>
        <v>419334.88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419334.88</v>
      </c>
      <c r="G460" s="83">
        <f>SUM(G454:G459)</f>
        <v>0</v>
      </c>
      <c r="H460" s="83">
        <f>SUM(H454:H459)</f>
        <v>0</v>
      </c>
      <c r="I460" s="83">
        <f>SUM(I454:I459)</f>
        <v>419334.88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419334.88</v>
      </c>
      <c r="G461" s="42">
        <f>G452+G460</f>
        <v>0</v>
      </c>
      <c r="H461" s="42">
        <f>H452+H460</f>
        <v>0</v>
      </c>
      <c r="I461" s="42">
        <f>I452+I460</f>
        <v>419334.88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729491.18</v>
      </c>
      <c r="G465" s="18">
        <v>47179.06</v>
      </c>
      <c r="H465" s="18"/>
      <c r="I465" s="18">
        <v>72976.820000000007</v>
      </c>
      <c r="J465" s="18">
        <v>523058.75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10189197.029999999</v>
      </c>
      <c r="G468" s="18">
        <v>150381.21</v>
      </c>
      <c r="H468" s="18"/>
      <c r="I468" s="18">
        <v>0</v>
      </c>
      <c r="J468" s="18">
        <f>51453.51</f>
        <v>51453.51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10189197.029999999</v>
      </c>
      <c r="G470" s="53">
        <f>SUM(G468:G469)</f>
        <v>150381.21</v>
      </c>
      <c r="H470" s="53">
        <f>SUM(H468:H469)</f>
        <v>0</v>
      </c>
      <c r="I470" s="53">
        <f>SUM(I468:I469)</f>
        <v>0</v>
      </c>
      <c r="J470" s="53">
        <f>SUM(J468:J469)</f>
        <v>51453.51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10120862.88-32892.61</f>
        <v>10087970.270000001</v>
      </c>
      <c r="G472" s="18">
        <v>185239.98</v>
      </c>
      <c r="H472" s="18"/>
      <c r="I472" s="18">
        <v>72976.820000000007</v>
      </c>
      <c r="J472" s="18">
        <f>153843.18+1334.2</f>
        <v>155177.38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10087970.270000001</v>
      </c>
      <c r="G474" s="53">
        <f>SUM(G472:G473)</f>
        <v>185239.98</v>
      </c>
      <c r="H474" s="53">
        <f>SUM(H472:H473)</f>
        <v>0</v>
      </c>
      <c r="I474" s="53">
        <f>SUM(I472:I473)</f>
        <v>72976.820000000007</v>
      </c>
      <c r="J474" s="53">
        <f>SUM(J472:J473)</f>
        <v>155177.38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830717.93999999762</v>
      </c>
      <c r="G476" s="53">
        <f>(G465+G470)- G474</f>
        <v>12320.289999999979</v>
      </c>
      <c r="H476" s="53">
        <f>(H465+H470)- H474</f>
        <v>0</v>
      </c>
      <c r="I476" s="53">
        <f>(I465+I470)- I474</f>
        <v>0</v>
      </c>
      <c r="J476" s="53">
        <f>(J465+J470)- J474</f>
        <v>419334.88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3.9851000000000001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4505000</v>
      </c>
      <c r="G495" s="18"/>
      <c r="H495" s="18"/>
      <c r="I495" s="18"/>
      <c r="J495" s="18"/>
      <c r="K495" s="53">
        <f>SUM(F495:J495)</f>
        <v>4505000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200000</v>
      </c>
      <c r="G497" s="18"/>
      <c r="H497" s="18"/>
      <c r="I497" s="18"/>
      <c r="J497" s="18"/>
      <c r="K497" s="53">
        <f t="shared" si="35"/>
        <v>200000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4305000</v>
      </c>
      <c r="G498" s="204"/>
      <c r="H498" s="204"/>
      <c r="I498" s="204"/>
      <c r="J498" s="204"/>
      <c r="K498" s="205">
        <f t="shared" si="35"/>
        <v>4305000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1775768.75</v>
      </c>
      <c r="G499" s="18"/>
      <c r="H499" s="18"/>
      <c r="I499" s="18"/>
      <c r="J499" s="18"/>
      <c r="K499" s="53">
        <f t="shared" si="35"/>
        <v>1775768.75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6080768.75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6080768.75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205000</v>
      </c>
      <c r="G501" s="204"/>
      <c r="H501" s="204"/>
      <c r="I501" s="204"/>
      <c r="J501" s="204"/>
      <c r="K501" s="205">
        <f t="shared" si="35"/>
        <v>205000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202012.5</v>
      </c>
      <c r="G502" s="18"/>
      <c r="H502" s="18"/>
      <c r="I502" s="18"/>
      <c r="J502" s="18"/>
      <c r="K502" s="53">
        <f t="shared" si="35"/>
        <v>202012.5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407012.5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407012.5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526285.39</v>
      </c>
      <c r="G521" s="18">
        <v>321007.48</v>
      </c>
      <c r="H521" s="18">
        <v>79163.34</v>
      </c>
      <c r="I521" s="18">
        <v>2974.59</v>
      </c>
      <c r="J521" s="18">
        <v>6727.56</v>
      </c>
      <c r="K521" s="18">
        <v>125</v>
      </c>
      <c r="L521" s="88">
        <f>SUM(F521:K521)</f>
        <v>936283.36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v>316701.12</v>
      </c>
      <c r="I523" s="18">
        <v>0</v>
      </c>
      <c r="J523" s="18">
        <v>0</v>
      </c>
      <c r="K523" s="18">
        <v>0</v>
      </c>
      <c r="L523" s="88">
        <f>SUM(F523:K523)</f>
        <v>316701.12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526285.39</v>
      </c>
      <c r="G524" s="108">
        <f t="shared" ref="G524:L524" si="36">SUM(G521:G523)</f>
        <v>321007.48</v>
      </c>
      <c r="H524" s="108">
        <f t="shared" si="36"/>
        <v>395864.45999999996</v>
      </c>
      <c r="I524" s="108">
        <f t="shared" si="36"/>
        <v>2974.59</v>
      </c>
      <c r="J524" s="108">
        <f t="shared" si="36"/>
        <v>6727.56</v>
      </c>
      <c r="K524" s="108">
        <f t="shared" si="36"/>
        <v>125</v>
      </c>
      <c r="L524" s="89">
        <f t="shared" si="36"/>
        <v>1252984.48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128013</f>
        <v>128013</v>
      </c>
      <c r="G526" s="18">
        <f>30069.38+949.34+151.2+9272.55+20059.77+61.6+89.6</f>
        <v>60653.440000000002</v>
      </c>
      <c r="H526" s="18">
        <v>0</v>
      </c>
      <c r="I526" s="18">
        <f>560.17+868.98</f>
        <v>1429.15</v>
      </c>
      <c r="J526" s="18">
        <v>0</v>
      </c>
      <c r="K526" s="18">
        <v>0</v>
      </c>
      <c r="L526" s="88">
        <f>SUM(F526:K526)</f>
        <v>190095.59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129636.44+25106.07</f>
        <v>154742.51</v>
      </c>
      <c r="I528" s="18"/>
      <c r="J528" s="18"/>
      <c r="K528" s="18"/>
      <c r="L528" s="88">
        <f>SUM(F528:K528)</f>
        <v>154742.51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128013</v>
      </c>
      <c r="G529" s="89">
        <f t="shared" ref="G529:L529" si="37">SUM(G526:G528)</f>
        <v>60653.440000000002</v>
      </c>
      <c r="H529" s="89">
        <f t="shared" si="37"/>
        <v>154742.51</v>
      </c>
      <c r="I529" s="89">
        <f t="shared" si="37"/>
        <v>1429.15</v>
      </c>
      <c r="J529" s="89">
        <f t="shared" si="37"/>
        <v>0</v>
      </c>
      <c r="K529" s="89">
        <f t="shared" si="37"/>
        <v>0</v>
      </c>
      <c r="L529" s="89">
        <f t="shared" si="37"/>
        <v>344838.1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43855.62</v>
      </c>
      <c r="I531" s="18"/>
      <c r="J531" s="18"/>
      <c r="K531" s="18"/>
      <c r="L531" s="88">
        <f>SUM(F531:K531)</f>
        <v>43855.62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25756.48</v>
      </c>
      <c r="I533" s="18"/>
      <c r="J533" s="18"/>
      <c r="K533" s="18"/>
      <c r="L533" s="88">
        <f>SUM(F533:K533)</f>
        <v>25756.48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69612.100000000006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69612.100000000006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13991.01</v>
      </c>
      <c r="I541" s="18"/>
      <c r="J541" s="18"/>
      <c r="K541" s="18"/>
      <c r="L541" s="88">
        <f>SUM(F541:K541)</f>
        <v>13991.01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295.13</v>
      </c>
      <c r="I543" s="18"/>
      <c r="J543" s="18"/>
      <c r="K543" s="18"/>
      <c r="L543" s="88">
        <f>SUM(F543:K543)</f>
        <v>295.13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14286.14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14286.14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654298.39</v>
      </c>
      <c r="G545" s="89">
        <f t="shared" ref="G545:L545" si="41">G524+G529+G534+G539+G544</f>
        <v>381660.92</v>
      </c>
      <c r="H545" s="89">
        <f t="shared" si="41"/>
        <v>634505.21</v>
      </c>
      <c r="I545" s="89">
        <f t="shared" si="41"/>
        <v>4403.74</v>
      </c>
      <c r="J545" s="89">
        <f t="shared" si="41"/>
        <v>6727.56</v>
      </c>
      <c r="K545" s="89">
        <f t="shared" si="41"/>
        <v>125</v>
      </c>
      <c r="L545" s="89">
        <f t="shared" si="41"/>
        <v>1681720.82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936283.36</v>
      </c>
      <c r="G549" s="87">
        <f>L526</f>
        <v>190095.59</v>
      </c>
      <c r="H549" s="87">
        <f>L531</f>
        <v>43855.62</v>
      </c>
      <c r="I549" s="87">
        <f>L536</f>
        <v>0</v>
      </c>
      <c r="J549" s="87">
        <f>L541</f>
        <v>13991.01</v>
      </c>
      <c r="K549" s="87">
        <f>SUM(F549:J549)</f>
        <v>1184225.58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316701.12</v>
      </c>
      <c r="G551" s="87">
        <f>L528</f>
        <v>154742.51</v>
      </c>
      <c r="H551" s="87">
        <f>L533</f>
        <v>25756.48</v>
      </c>
      <c r="I551" s="87">
        <f>L538</f>
        <v>0</v>
      </c>
      <c r="J551" s="87">
        <f>L543</f>
        <v>295.13</v>
      </c>
      <c r="K551" s="87">
        <f>SUM(F551:J551)</f>
        <v>497495.24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1252984.48</v>
      </c>
      <c r="G552" s="89">
        <f t="shared" si="42"/>
        <v>344838.1</v>
      </c>
      <c r="H552" s="89">
        <f t="shared" si="42"/>
        <v>69612.100000000006</v>
      </c>
      <c r="I552" s="89">
        <f t="shared" si="42"/>
        <v>0</v>
      </c>
      <c r="J552" s="89">
        <f t="shared" si="42"/>
        <v>14286.14</v>
      </c>
      <c r="K552" s="89">
        <f t="shared" si="42"/>
        <v>1681720.82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70427.05</v>
      </c>
      <c r="I575" s="87">
        <f>SUM(F575:H575)</f>
        <v>70427.05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3186947.71</v>
      </c>
      <c r="I577" s="87">
        <f t="shared" si="47"/>
        <v>3186947.71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7173</v>
      </c>
      <c r="G579" s="18"/>
      <c r="H579" s="18"/>
      <c r="I579" s="87">
        <f t="shared" si="47"/>
        <v>7173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168110.12</v>
      </c>
      <c r="I581" s="87">
        <f t="shared" si="47"/>
        <v>168110.12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67222.559999999998</v>
      </c>
      <c r="G582" s="18"/>
      <c r="H582" s="18"/>
      <c r="I582" s="87">
        <f t="shared" si="47"/>
        <v>67222.559999999998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175169.4</v>
      </c>
      <c r="I591" s="18">
        <v>0</v>
      </c>
      <c r="J591" s="18">
        <v>131376</v>
      </c>
      <c r="K591" s="104">
        <f t="shared" ref="K591:K597" si="48">SUM(H591:J591)</f>
        <v>306545.40000000002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13991.01</v>
      </c>
      <c r="I592" s="18">
        <v>0</v>
      </c>
      <c r="J592" s="18">
        <v>295.13</v>
      </c>
      <c r="K592" s="104">
        <f t="shared" si="48"/>
        <v>14286.14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3743.09</v>
      </c>
      <c r="I594" s="18">
        <v>0</v>
      </c>
      <c r="J594" s="18">
        <v>0</v>
      </c>
      <c r="K594" s="104">
        <f t="shared" si="48"/>
        <v>3743.09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192903.5</v>
      </c>
      <c r="I598" s="108">
        <f>SUM(I591:I597)</f>
        <v>0</v>
      </c>
      <c r="J598" s="108">
        <f>SUM(J591:J597)</f>
        <v>131671.13</v>
      </c>
      <c r="K598" s="108">
        <f>SUM(K591:K597)</f>
        <v>324574.63000000006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80047.199999999997</v>
      </c>
      <c r="I604" s="18">
        <v>0</v>
      </c>
      <c r="J604" s="18">
        <v>0</v>
      </c>
      <c r="K604" s="104">
        <f>SUM(H604:J604)</f>
        <v>80047.199999999997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80047.199999999997</v>
      </c>
      <c r="I605" s="108">
        <f>SUM(I602:I604)</f>
        <v>0</v>
      </c>
      <c r="J605" s="108">
        <f>SUM(J602:J604)</f>
        <v>0</v>
      </c>
      <c r="K605" s="108">
        <f>SUM(K602:K604)</f>
        <v>80047.199999999997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15139.74</v>
      </c>
      <c r="G611" s="18">
        <v>2595.31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17735.05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1855.97</v>
      </c>
      <c r="I613" s="18">
        <v>0</v>
      </c>
      <c r="J613" s="18">
        <v>0</v>
      </c>
      <c r="K613" s="18">
        <v>0</v>
      </c>
      <c r="L613" s="88">
        <f>SUM(F613:K613)</f>
        <v>1855.97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15139.74</v>
      </c>
      <c r="G614" s="108">
        <f t="shared" si="49"/>
        <v>2595.31</v>
      </c>
      <c r="H614" s="108">
        <f t="shared" si="49"/>
        <v>1855.97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19591.02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929162.52</v>
      </c>
      <c r="H617" s="109">
        <f>SUM(F52)</f>
        <v>929162.5199999999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19865.39</v>
      </c>
      <c r="H618" s="109">
        <f>SUM(G52)</f>
        <v>19865.39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419334.88</v>
      </c>
      <c r="H621" s="109">
        <f>SUM(J52)</f>
        <v>419334.88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830717.94</v>
      </c>
      <c r="H622" s="109">
        <f>F476</f>
        <v>830717.93999999762</v>
      </c>
      <c r="I622" s="121" t="s">
        <v>101</v>
      </c>
      <c r="J622" s="109">
        <f t="shared" ref="J622:J655" si="50">G622-H622</f>
        <v>2.3283064365386963E-9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12320.29</v>
      </c>
      <c r="H623" s="109">
        <f>G476</f>
        <v>12320.289999999979</v>
      </c>
      <c r="I623" s="121" t="s">
        <v>102</v>
      </c>
      <c r="J623" s="109">
        <f t="shared" si="50"/>
        <v>2.1827872842550278E-11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419334.88</v>
      </c>
      <c r="H626" s="109">
        <f>J476</f>
        <v>419334.88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10189197.029999999</v>
      </c>
      <c r="H627" s="104">
        <f>SUM(F468)</f>
        <v>10189197.029999999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150381.21000000002</v>
      </c>
      <c r="H628" s="104">
        <f>SUM(G468)</f>
        <v>150381.21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51453.51</v>
      </c>
      <c r="H631" s="104">
        <f>SUM(J468)</f>
        <v>51453.51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10087970.27</v>
      </c>
      <c r="H632" s="104">
        <f>SUM(F472)</f>
        <v>10087970.270000001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65163.43</v>
      </c>
      <c r="H634" s="104">
        <f>I369</f>
        <v>65163.43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185239.97999999998</v>
      </c>
      <c r="H635" s="104">
        <f>SUM(G472)</f>
        <v>185239.98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72976.820000000007</v>
      </c>
      <c r="H636" s="104">
        <f>SUM(I472)</f>
        <v>72976.820000000007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51453.509999999995</v>
      </c>
      <c r="H637" s="164">
        <f>SUM(J468)</f>
        <v>51453.51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155177.38</v>
      </c>
      <c r="H638" s="164">
        <f>SUM(J472)</f>
        <v>155177.38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419334.88</v>
      </c>
      <c r="H639" s="104">
        <f>SUM(F461)</f>
        <v>419334.88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419334.88</v>
      </c>
      <c r="H642" s="104">
        <f>SUM(I461)</f>
        <v>419334.88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1453.51</v>
      </c>
      <c r="H644" s="104">
        <f>H408</f>
        <v>1453.51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51453.51</v>
      </c>
      <c r="H646" s="104">
        <f>L408</f>
        <v>51453.509999999995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324574.63000000006</v>
      </c>
      <c r="H647" s="104">
        <f>L208+L226+L244</f>
        <v>324574.63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80047.199999999997</v>
      </c>
      <c r="H648" s="104">
        <f>(J257+J338)-(J255+J336)</f>
        <v>80047.199999999983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192903.5</v>
      </c>
      <c r="H649" s="104">
        <f>H598</f>
        <v>192903.5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131671.13</v>
      </c>
      <c r="H651" s="104">
        <f>J598</f>
        <v>131671.13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5910259.0499999998</v>
      </c>
      <c r="G660" s="19">
        <f>(L229+L309+L359)</f>
        <v>0</v>
      </c>
      <c r="H660" s="19">
        <f>(L247+L328+L360)</f>
        <v>3860471.55</v>
      </c>
      <c r="I660" s="19">
        <f>SUM(F660:H660)</f>
        <v>9770730.5999999996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103842.71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103842.71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192903.5</v>
      </c>
      <c r="G662" s="19">
        <f>(L226+L306)-(J226+J306)</f>
        <v>0</v>
      </c>
      <c r="H662" s="19">
        <f>(L244+L325)-(J244+J325)</f>
        <v>131671.13</v>
      </c>
      <c r="I662" s="19">
        <f>SUM(F662:H662)</f>
        <v>324574.63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172177.81</v>
      </c>
      <c r="G663" s="199">
        <f>SUM(G575:G587)+SUM(I602:I604)+L612</f>
        <v>0</v>
      </c>
      <c r="H663" s="199">
        <f>SUM(H575:H587)+SUM(J602:J604)+L613</f>
        <v>3427340.85</v>
      </c>
      <c r="I663" s="19">
        <f>SUM(F663:H663)</f>
        <v>3599518.66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5441335.0299999993</v>
      </c>
      <c r="G664" s="19">
        <f>G660-SUM(G661:G663)</f>
        <v>0</v>
      </c>
      <c r="H664" s="19">
        <f>H660-SUM(H661:H663)</f>
        <v>301459.56999999983</v>
      </c>
      <c r="I664" s="19">
        <f>I660-SUM(I661:I663)</f>
        <v>5742794.5999999996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387.9</v>
      </c>
      <c r="G665" s="248"/>
      <c r="H665" s="248"/>
      <c r="I665" s="19">
        <f>SUM(F665:H665)</f>
        <v>387.9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14027.67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14804.83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-301459.57</v>
      </c>
      <c r="I669" s="19">
        <f>SUM(F669:H669)</f>
        <v>-301459.57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14027.67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14027.67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Strafford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1812695.98</v>
      </c>
      <c r="C9" s="229">
        <f>'DOE25'!G197+'DOE25'!G215+'DOE25'!G233+'DOE25'!G276+'DOE25'!G295+'DOE25'!G314</f>
        <v>858334.08</v>
      </c>
    </row>
    <row r="10" spans="1:3" x14ac:dyDescent="0.2">
      <c r="A10" t="s">
        <v>779</v>
      </c>
      <c r="B10" s="240">
        <v>1764454.18</v>
      </c>
      <c r="C10" s="240">
        <v>842339.65</v>
      </c>
    </row>
    <row r="11" spans="1:3" x14ac:dyDescent="0.2">
      <c r="A11" t="s">
        <v>780</v>
      </c>
      <c r="B11" s="240">
        <v>21022.400000000001</v>
      </c>
      <c r="C11" s="240">
        <v>13959.04</v>
      </c>
    </row>
    <row r="12" spans="1:3" x14ac:dyDescent="0.2">
      <c r="A12" t="s">
        <v>781</v>
      </c>
      <c r="B12" s="240">
        <v>27219.4</v>
      </c>
      <c r="C12" s="240">
        <v>2035.39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1812695.9799999997</v>
      </c>
      <c r="C13" s="231">
        <f>SUM(C10:C12)</f>
        <v>858334.08000000007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526285.39</v>
      </c>
      <c r="C18" s="229">
        <f>'DOE25'!G198+'DOE25'!G216+'DOE25'!G234+'DOE25'!G277+'DOE25'!G296+'DOE25'!G315</f>
        <v>321007.48</v>
      </c>
    </row>
    <row r="19" spans="1:3" x14ac:dyDescent="0.2">
      <c r="A19" t="s">
        <v>779</v>
      </c>
      <c r="B19" s="240">
        <v>194689</v>
      </c>
      <c r="C19" s="240">
        <v>122533.08</v>
      </c>
    </row>
    <row r="20" spans="1:3" x14ac:dyDescent="0.2">
      <c r="A20" t="s">
        <v>780</v>
      </c>
      <c r="B20" s="240">
        <v>274376.65000000002</v>
      </c>
      <c r="C20" s="240">
        <v>189539.97</v>
      </c>
    </row>
    <row r="21" spans="1:3" x14ac:dyDescent="0.2">
      <c r="A21" t="s">
        <v>781</v>
      </c>
      <c r="B21" s="240">
        <v>57219.74</v>
      </c>
      <c r="C21" s="240">
        <v>8934.43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526285.39</v>
      </c>
      <c r="C22" s="231">
        <f>SUM(C19:C21)</f>
        <v>321007.48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32855</v>
      </c>
      <c r="C36" s="235">
        <f>'DOE25'!G200+'DOE25'!G218+'DOE25'!G236+'DOE25'!G279+'DOE25'!G298+'DOE25'!G317</f>
        <v>6418.7</v>
      </c>
    </row>
    <row r="37" spans="1:3" x14ac:dyDescent="0.2">
      <c r="A37" t="s">
        <v>779</v>
      </c>
      <c r="B37" s="240">
        <v>24665</v>
      </c>
      <c r="C37" s="240">
        <v>5312.9</v>
      </c>
    </row>
    <row r="38" spans="1:3" x14ac:dyDescent="0.2">
      <c r="A38" t="s">
        <v>780</v>
      </c>
      <c r="B38" s="240">
        <v>6590</v>
      </c>
      <c r="C38" s="240">
        <v>961.05</v>
      </c>
    </row>
    <row r="39" spans="1:3" x14ac:dyDescent="0.2">
      <c r="A39" t="s">
        <v>781</v>
      </c>
      <c r="B39" s="240">
        <v>1600</v>
      </c>
      <c r="C39" s="240">
        <v>144.75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32855</v>
      </c>
      <c r="C40" s="231">
        <f>SUM(C37:C39)</f>
        <v>6418.7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Strafford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7356001.7699999996</v>
      </c>
      <c r="D5" s="20">
        <f>SUM('DOE25'!L197:L200)+SUM('DOE25'!L215:L218)+SUM('DOE25'!L233:L236)-F5-G5</f>
        <v>7285505.4299999997</v>
      </c>
      <c r="E5" s="243"/>
      <c r="F5" s="255">
        <f>SUM('DOE25'!J197:J200)+SUM('DOE25'!J215:J218)+SUM('DOE25'!J233:J236)</f>
        <v>68321.84</v>
      </c>
      <c r="G5" s="53">
        <f>SUM('DOE25'!K197:K200)+SUM('DOE25'!K215:K218)+SUM('DOE25'!K233:K236)</f>
        <v>2174.5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434810.27999999997</v>
      </c>
      <c r="D6" s="20">
        <f>'DOE25'!L202+'DOE25'!L220+'DOE25'!L238-F6-G6</f>
        <v>433685.27999999997</v>
      </c>
      <c r="E6" s="243"/>
      <c r="F6" s="255">
        <f>'DOE25'!J202+'DOE25'!J220+'DOE25'!J238</f>
        <v>375</v>
      </c>
      <c r="G6" s="53">
        <f>'DOE25'!K202+'DOE25'!K220+'DOE25'!K238</f>
        <v>750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147719.26999999999</v>
      </c>
      <c r="D7" s="20">
        <f>'DOE25'!L203+'DOE25'!L221+'DOE25'!L239-F7-G7</f>
        <v>146977.62</v>
      </c>
      <c r="E7" s="243"/>
      <c r="F7" s="255">
        <f>'DOE25'!J203+'DOE25'!J221+'DOE25'!J239</f>
        <v>741.65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289639.98</v>
      </c>
      <c r="D8" s="243"/>
      <c r="E8" s="20">
        <f>'DOE25'!L204+'DOE25'!L222+'DOE25'!L240-F8-G8-D9-D11</f>
        <v>283849.59999999998</v>
      </c>
      <c r="F8" s="255">
        <f>'DOE25'!J204+'DOE25'!J222+'DOE25'!J240</f>
        <v>0</v>
      </c>
      <c r="G8" s="53">
        <f>'DOE25'!K204+'DOE25'!K222+'DOE25'!K240</f>
        <v>5790.38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49254.99</v>
      </c>
      <c r="D9" s="244">
        <f>61854.99-12600</f>
        <v>49254.99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12600</v>
      </c>
      <c r="D10" s="243"/>
      <c r="E10" s="244">
        <v>12600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92456.36</v>
      </c>
      <c r="D11" s="244">
        <v>92456.36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448637.27999999997</v>
      </c>
      <c r="D12" s="20">
        <f>'DOE25'!L205+'DOE25'!L223+'DOE25'!L241-F12-G12</f>
        <v>445179.8</v>
      </c>
      <c r="E12" s="243"/>
      <c r="F12" s="255">
        <f>'DOE25'!J205+'DOE25'!J223+'DOE25'!J241</f>
        <v>0</v>
      </c>
      <c r="G12" s="53">
        <f>'DOE25'!K205+'DOE25'!K223+'DOE25'!K241</f>
        <v>3457.48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481913.21000000008</v>
      </c>
      <c r="D14" s="20">
        <f>'DOE25'!L207+'DOE25'!L225+'DOE25'!L243-F14-G14</f>
        <v>471304.50000000006</v>
      </c>
      <c r="E14" s="243"/>
      <c r="F14" s="255">
        <f>'DOE25'!J207+'DOE25'!J225+'DOE25'!J243</f>
        <v>10608.71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324574.63</v>
      </c>
      <c r="D15" s="20">
        <f>'DOE25'!L208+'DOE25'!L226+'DOE25'!L244-F15-G15</f>
        <v>324574.63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408087.5</v>
      </c>
      <c r="D25" s="243"/>
      <c r="E25" s="243"/>
      <c r="F25" s="258"/>
      <c r="G25" s="256"/>
      <c r="H25" s="257">
        <f>'DOE25'!L260+'DOE25'!L261+'DOE25'!L341+'DOE25'!L342</f>
        <v>408087.5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81555.659999999989</v>
      </c>
      <c r="D29" s="20">
        <f>'DOE25'!L358+'DOE25'!L359+'DOE25'!L360-'DOE25'!I367-F29-G29</f>
        <v>79791.159999999989</v>
      </c>
      <c r="E29" s="243"/>
      <c r="F29" s="255">
        <f>'DOE25'!J358+'DOE25'!J359+'DOE25'!J360</f>
        <v>1715</v>
      </c>
      <c r="G29" s="53">
        <f>'DOE25'!K358+'DOE25'!K359+'DOE25'!K360</f>
        <v>49.5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9328729.7700000014</v>
      </c>
      <c r="E33" s="246">
        <f>SUM(E5:E31)</f>
        <v>296449.59999999998</v>
      </c>
      <c r="F33" s="246">
        <f>SUM(F5:F31)</f>
        <v>81762.199999999983</v>
      </c>
      <c r="G33" s="246">
        <f>SUM(G5:G31)</f>
        <v>12221.86</v>
      </c>
      <c r="H33" s="246">
        <f>SUM(H5:H31)</f>
        <v>408087.5</v>
      </c>
    </row>
    <row r="35" spans="2:8" ht="12" thickBot="1" x14ac:dyDescent="0.25">
      <c r="B35" s="253" t="s">
        <v>847</v>
      </c>
      <c r="D35" s="254">
        <f>E33</f>
        <v>296449.59999999998</v>
      </c>
      <c r="E35" s="249"/>
    </row>
    <row r="36" spans="2:8" ht="12" thickTop="1" x14ac:dyDescent="0.2">
      <c r="B36" t="s">
        <v>815</v>
      </c>
      <c r="D36" s="20">
        <f>D33</f>
        <v>9328729.7700000014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905165.03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419334.88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7545.1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23997.49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12320.29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929162.52</v>
      </c>
      <c r="D18" s="41">
        <f>SUM(D8:D17)</f>
        <v>19865.39</v>
      </c>
      <c r="E18" s="41">
        <f>SUM(E8:E17)</f>
        <v>0</v>
      </c>
      <c r="F18" s="41">
        <f>SUM(F8:F17)</f>
        <v>0</v>
      </c>
      <c r="G18" s="41">
        <f>SUM(G8:G17)</f>
        <v>419334.88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7545.1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90899.479999999981</v>
      </c>
      <c r="D23" s="95">
        <f>'DOE25'!G24</f>
        <v>7545.1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98444.579999999987</v>
      </c>
      <c r="D31" s="41">
        <f>SUM(D21:D30)</f>
        <v>7545.1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12320.29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419334.88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780717.94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830717.94</v>
      </c>
      <c r="D50" s="41">
        <f>SUM(D34:D49)</f>
        <v>12320.29</v>
      </c>
      <c r="E50" s="41">
        <f>SUM(E34:E49)</f>
        <v>0</v>
      </c>
      <c r="F50" s="41">
        <f>SUM(F34:F49)</f>
        <v>0</v>
      </c>
      <c r="G50" s="41">
        <f>SUM(G34:G49)</f>
        <v>419334.88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929162.5199999999</v>
      </c>
      <c r="D51" s="41">
        <f>D50+D31</f>
        <v>19865.39</v>
      </c>
      <c r="E51" s="41">
        <f>E50+E31</f>
        <v>0</v>
      </c>
      <c r="F51" s="41">
        <f>F50+F31</f>
        <v>0</v>
      </c>
      <c r="G51" s="41">
        <f>G50+G31</f>
        <v>419334.88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6643943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16102.8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141.9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1453.51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103842.71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92280.8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108525.5</v>
      </c>
      <c r="D62" s="130">
        <f>SUM(D57:D61)</f>
        <v>103842.71</v>
      </c>
      <c r="E62" s="130">
        <f>SUM(E57:E61)</f>
        <v>0</v>
      </c>
      <c r="F62" s="130">
        <f>SUM(F57:F61)</f>
        <v>0</v>
      </c>
      <c r="G62" s="130">
        <f>SUM(G57:G61)</f>
        <v>1453.51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6752468.5</v>
      </c>
      <c r="D63" s="22">
        <f>D56+D62</f>
        <v>103842.71</v>
      </c>
      <c r="E63" s="22">
        <f>E56+E62</f>
        <v>0</v>
      </c>
      <c r="F63" s="22">
        <f>F56+F62</f>
        <v>0</v>
      </c>
      <c r="G63" s="22">
        <f>G56+G62</f>
        <v>1453.51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2247082.4500000002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1047131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3294213.45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65482.5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2759.41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65482.5</v>
      </c>
      <c r="D78" s="130">
        <f>SUM(D72:D77)</f>
        <v>2759.41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3359695.95</v>
      </c>
      <c r="D81" s="130">
        <f>SUM(D79:D80)+D78+D70</f>
        <v>2759.41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37515.43</v>
      </c>
      <c r="D88" s="95">
        <f>SUM('DOE25'!G153:G161)</f>
        <v>43779.09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37515.43</v>
      </c>
      <c r="D91" s="131">
        <f>SUM(D85:D90)</f>
        <v>43779.09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39517.15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39517.15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10189197.029999999</v>
      </c>
      <c r="D104" s="86">
        <f>D63+D81+D91+D103</f>
        <v>150381.21000000002</v>
      </c>
      <c r="E104" s="86">
        <f>E63+E81+E91+E103</f>
        <v>0</v>
      </c>
      <c r="F104" s="86">
        <f>F63+F81+F91+F103</f>
        <v>0</v>
      </c>
      <c r="G104" s="86">
        <f>G63+G81+G103</f>
        <v>51453.51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6052014.8799999999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1252984.48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51002.409999999996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7356001.7699999996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434810.27999999997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147719.26999999999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431351.32999999996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448637.27999999997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481913.21000000008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324574.63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145722.82999999999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2269006</v>
      </c>
      <c r="D128" s="86">
        <f>SUM(D118:D127)</f>
        <v>145722.82999999999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208087.5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39517.15</v>
      </c>
      <c r="E134" s="95">
        <f>'DOE25'!L344</f>
        <v>0</v>
      </c>
      <c r="F134" s="95">
        <f>'DOE25'!K381</f>
        <v>72976.820000000007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51453.509999999995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-1453.5099999999948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4875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462962.5</v>
      </c>
      <c r="D144" s="141">
        <f>SUM(D130:D143)</f>
        <v>39517.15</v>
      </c>
      <c r="E144" s="141">
        <f>SUM(E130:E143)</f>
        <v>0</v>
      </c>
      <c r="F144" s="141">
        <f>SUM(F130:F143)</f>
        <v>72976.820000000007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10087970.27</v>
      </c>
      <c r="D145" s="86">
        <f>(D115+D128+D144)</f>
        <v>185239.97999999998</v>
      </c>
      <c r="E145" s="86">
        <f>(E115+E128+E144)</f>
        <v>0</v>
      </c>
      <c r="F145" s="86">
        <f>(F115+F128+F144)</f>
        <v>72976.820000000007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3.9851000000000001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4505000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4505000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200000</v>
      </c>
    </row>
    <row r="159" spans="1:9" x14ac:dyDescent="0.2">
      <c r="A159" s="22" t="s">
        <v>35</v>
      </c>
      <c r="B159" s="137">
        <f>'DOE25'!F498</f>
        <v>4305000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4305000</v>
      </c>
    </row>
    <row r="160" spans="1:9" x14ac:dyDescent="0.2">
      <c r="A160" s="22" t="s">
        <v>36</v>
      </c>
      <c r="B160" s="137">
        <f>'DOE25'!F499</f>
        <v>1775768.75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1775768.75</v>
      </c>
    </row>
    <row r="161" spans="1:7" x14ac:dyDescent="0.2">
      <c r="A161" s="22" t="s">
        <v>37</v>
      </c>
      <c r="B161" s="137">
        <f>'DOE25'!F500</f>
        <v>6080768.75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6080768.75</v>
      </c>
    </row>
    <row r="162" spans="1:7" x14ac:dyDescent="0.2">
      <c r="A162" s="22" t="s">
        <v>38</v>
      </c>
      <c r="B162" s="137">
        <f>'DOE25'!F501</f>
        <v>205000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205000</v>
      </c>
    </row>
    <row r="163" spans="1:7" x14ac:dyDescent="0.2">
      <c r="A163" s="22" t="s">
        <v>39</v>
      </c>
      <c r="B163" s="137">
        <f>'DOE25'!F502</f>
        <v>202012.5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202012.5</v>
      </c>
    </row>
    <row r="164" spans="1:7" x14ac:dyDescent="0.2">
      <c r="A164" s="22" t="s">
        <v>246</v>
      </c>
      <c r="B164" s="137">
        <f>'DOE25'!F503</f>
        <v>407012.5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407012.5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Strafford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14028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14028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6052015</v>
      </c>
      <c r="D10" s="182">
        <f>ROUND((C10/$C$28)*100,1)</f>
        <v>61.3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1252984</v>
      </c>
      <c r="D11" s="182">
        <f>ROUND((C11/$C$28)*100,1)</f>
        <v>12.7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51002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434810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147719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431351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448637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481913</v>
      </c>
      <c r="D20" s="182">
        <f t="shared" si="0"/>
        <v>4.9000000000000004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324575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208088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4875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41880.289999999994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9879849.2899999991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9879849.2899999991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200000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6643943</v>
      </c>
      <c r="D35" s="182">
        <f t="shared" ref="D35:D40" si="1">ROUND((C35/$C$41)*100,1)</f>
        <v>65.2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109979.00999999978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3294213</v>
      </c>
      <c r="D37" s="182">
        <f t="shared" si="1"/>
        <v>32.299999999999997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68242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81295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10197672.01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Strafford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2016-11-18T15:18:05Z</cp:lastPrinted>
  <dcterms:created xsi:type="dcterms:W3CDTF">1997-12-04T19:04:30Z</dcterms:created>
  <dcterms:modified xsi:type="dcterms:W3CDTF">2016-12-20T16:06:16Z</dcterms:modified>
</cp:coreProperties>
</file>