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14" i="1" l="1"/>
  <c r="K263" i="1"/>
  <c r="G179" i="1"/>
  <c r="G158" i="1"/>
  <c r="F50" i="1"/>
  <c r="G22" i="1"/>
  <c r="F12" i="1"/>
  <c r="J276" i="1" l="1"/>
  <c r="I276" i="1"/>
  <c r="H468" i="1"/>
  <c r="F468" i="1"/>
  <c r="K531" i="1"/>
  <c r="I531" i="1"/>
  <c r="H531" i="1"/>
  <c r="J358" i="1"/>
  <c r="H358" i="1"/>
  <c r="G276" i="1"/>
  <c r="H276" i="1"/>
  <c r="F276" i="1"/>
  <c r="H287" i="1"/>
  <c r="H315" i="1"/>
  <c r="H277" i="1"/>
  <c r="H233" i="1"/>
  <c r="H244" i="1"/>
  <c r="H208" i="1"/>
  <c r="G207" i="1"/>
  <c r="J207" i="1"/>
  <c r="I207" i="1"/>
  <c r="H207" i="1"/>
  <c r="F207" i="1"/>
  <c r="K205" i="1"/>
  <c r="I205" i="1"/>
  <c r="H205" i="1"/>
  <c r="G205" i="1"/>
  <c r="F205" i="1"/>
  <c r="H204" i="1"/>
  <c r="H240" i="1"/>
  <c r="K240" i="1"/>
  <c r="K204" i="1"/>
  <c r="G240" i="1"/>
  <c r="G204" i="1"/>
  <c r="F240" i="1"/>
  <c r="F204" i="1"/>
  <c r="I203" i="1"/>
  <c r="H203" i="1"/>
  <c r="J203" i="1"/>
  <c r="G203" i="1"/>
  <c r="F203" i="1"/>
  <c r="H202" i="1"/>
  <c r="I202" i="1"/>
  <c r="G202" i="1"/>
  <c r="F202" i="1"/>
  <c r="I200" i="1"/>
  <c r="G200" i="1"/>
  <c r="H198" i="1"/>
  <c r="H234" i="1"/>
  <c r="G198" i="1"/>
  <c r="F198" i="1"/>
  <c r="H197" i="1"/>
  <c r="G197" i="1"/>
  <c r="F197" i="1"/>
  <c r="K197" i="1"/>
  <c r="I197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F662" i="1" s="1"/>
  <c r="I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I661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E123" i="2"/>
  <c r="C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H640" i="1"/>
  <c r="G641" i="1"/>
  <c r="J641" i="1" s="1"/>
  <c r="H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C70" i="2"/>
  <c r="D18" i="13"/>
  <c r="C18" i="13" s="1"/>
  <c r="D15" i="13"/>
  <c r="C15" i="13" s="1"/>
  <c r="D17" i="13"/>
  <c r="C17" i="13" s="1"/>
  <c r="F78" i="2"/>
  <c r="F81" i="2" s="1"/>
  <c r="C78" i="2"/>
  <c r="D50" i="2"/>
  <c r="G157" i="2"/>
  <c r="F18" i="2"/>
  <c r="G161" i="2"/>
  <c r="G156" i="2"/>
  <c r="E103" i="2"/>
  <c r="E62" i="2"/>
  <c r="E63" i="2" s="1"/>
  <c r="E31" i="2"/>
  <c r="D29" i="13"/>
  <c r="C29" i="13" s="1"/>
  <c r="D19" i="13"/>
  <c r="C19" i="13" s="1"/>
  <c r="E13" i="13"/>
  <c r="C13" i="13" s="1"/>
  <c r="E78" i="2"/>
  <c r="E81" i="2" s="1"/>
  <c r="L427" i="1"/>
  <c r="J257" i="1"/>
  <c r="J271" i="1" s="1"/>
  <c r="H112" i="1"/>
  <c r="J639" i="1"/>
  <c r="K605" i="1"/>
  <c r="G648" i="1" s="1"/>
  <c r="J571" i="1"/>
  <c r="K571" i="1"/>
  <c r="L433" i="1"/>
  <c r="L419" i="1"/>
  <c r="D81" i="2"/>
  <c r="I169" i="1"/>
  <c r="G552" i="1"/>
  <c r="J643" i="1"/>
  <c r="I476" i="1"/>
  <c r="H625" i="1" s="1"/>
  <c r="J625" i="1" s="1"/>
  <c r="G476" i="1"/>
  <c r="H623" i="1" s="1"/>
  <c r="J623" i="1" s="1"/>
  <c r="J140" i="1"/>
  <c r="F571" i="1"/>
  <c r="I552" i="1"/>
  <c r="K550" i="1"/>
  <c r="G22" i="2"/>
  <c r="K545" i="1"/>
  <c r="J552" i="1"/>
  <c r="H552" i="1"/>
  <c r="C29" i="10"/>
  <c r="H140" i="1"/>
  <c r="L393" i="1"/>
  <c r="F22" i="13"/>
  <c r="H25" i="13"/>
  <c r="C25" i="13" s="1"/>
  <c r="J634" i="1"/>
  <c r="H571" i="1"/>
  <c r="L560" i="1"/>
  <c r="J545" i="1"/>
  <c r="F338" i="1"/>
  <c r="F352" i="1" s="1"/>
  <c r="G192" i="1"/>
  <c r="H19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H545" i="1"/>
  <c r="K551" i="1"/>
  <c r="C22" i="13"/>
  <c r="C138" i="2"/>
  <c r="C16" i="13"/>
  <c r="H33" i="13"/>
  <c r="F476" i="1" l="1"/>
  <c r="H622" i="1" s="1"/>
  <c r="J622" i="1" s="1"/>
  <c r="J644" i="1"/>
  <c r="J649" i="1"/>
  <c r="K598" i="1"/>
  <c r="G647" i="1" s="1"/>
  <c r="J647" i="1" s="1"/>
  <c r="K549" i="1"/>
  <c r="K552" i="1" s="1"/>
  <c r="L524" i="1"/>
  <c r="L545" i="1" s="1"/>
  <c r="J640" i="1"/>
  <c r="H476" i="1"/>
  <c r="H624" i="1" s="1"/>
  <c r="J624" i="1" s="1"/>
  <c r="L401" i="1"/>
  <c r="C139" i="2" s="1"/>
  <c r="D145" i="2"/>
  <c r="J338" i="1"/>
  <c r="J352" i="1" s="1"/>
  <c r="C18" i="10"/>
  <c r="E115" i="2"/>
  <c r="E124" i="2"/>
  <c r="E128" i="2" s="1"/>
  <c r="L290" i="1"/>
  <c r="L338" i="1" s="1"/>
  <c r="L352" i="1" s="1"/>
  <c r="G633" i="1" s="1"/>
  <c r="J633" i="1" s="1"/>
  <c r="D14" i="13"/>
  <c r="C14" i="13" s="1"/>
  <c r="C123" i="2"/>
  <c r="D12" i="13"/>
  <c r="C12" i="13" s="1"/>
  <c r="C121" i="2"/>
  <c r="K257" i="1"/>
  <c r="K271" i="1" s="1"/>
  <c r="C17" i="10"/>
  <c r="H257" i="1"/>
  <c r="H271" i="1" s="1"/>
  <c r="E8" i="13"/>
  <c r="C8" i="13" s="1"/>
  <c r="G257" i="1"/>
  <c r="G271" i="1" s="1"/>
  <c r="C120" i="2"/>
  <c r="C16" i="10"/>
  <c r="D7" i="13"/>
  <c r="C7" i="13" s="1"/>
  <c r="D6" i="13"/>
  <c r="C6" i="13" s="1"/>
  <c r="C112" i="2"/>
  <c r="C110" i="2"/>
  <c r="L247" i="1"/>
  <c r="H660" i="1" s="1"/>
  <c r="H664" i="1" s="1"/>
  <c r="H667" i="1" s="1"/>
  <c r="C11" i="10"/>
  <c r="L211" i="1"/>
  <c r="D5" i="13"/>
  <c r="C5" i="13" s="1"/>
  <c r="C10" i="10"/>
  <c r="C109" i="2"/>
  <c r="C81" i="2"/>
  <c r="F112" i="1"/>
  <c r="C62" i="2"/>
  <c r="C56" i="2"/>
  <c r="C63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L408" i="1" l="1"/>
  <c r="G637" i="1" s="1"/>
  <c r="J637" i="1" s="1"/>
  <c r="C141" i="2"/>
  <c r="C144" i="2" s="1"/>
  <c r="E145" i="2"/>
  <c r="F660" i="1"/>
  <c r="F664" i="1" s="1"/>
  <c r="F667" i="1" s="1"/>
  <c r="D31" i="13"/>
  <c r="C31" i="13" s="1"/>
  <c r="C128" i="2"/>
  <c r="E33" i="13"/>
  <c r="D35" i="13" s="1"/>
  <c r="L257" i="1"/>
  <c r="L271" i="1" s="1"/>
  <c r="G632" i="1" s="1"/>
  <c r="J632" i="1" s="1"/>
  <c r="C115" i="2"/>
  <c r="H672" i="1"/>
  <c r="C6" i="10" s="1"/>
  <c r="C28" i="10"/>
  <c r="D24" i="10" s="1"/>
  <c r="I660" i="1"/>
  <c r="I664" i="1" s="1"/>
  <c r="I672" i="1" s="1"/>
  <c r="C7" i="10" s="1"/>
  <c r="G672" i="1"/>
  <c r="C5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F672" i="1"/>
  <c r="C4" i="10" s="1"/>
  <c r="D33" i="13"/>
  <c r="D36" i="13" s="1"/>
  <c r="C145" i="2"/>
  <c r="C30" i="10"/>
  <c r="D25" i="10"/>
  <c r="D10" i="10"/>
  <c r="D26" i="10"/>
  <c r="D20" i="10"/>
  <c r="D23" i="10"/>
  <c r="D15" i="10"/>
  <c r="D16" i="10"/>
  <c r="D19" i="10"/>
  <c r="D13" i="10"/>
  <c r="D11" i="10"/>
  <c r="D21" i="10"/>
  <c r="D22" i="10"/>
  <c r="D27" i="10"/>
  <c r="D18" i="10"/>
  <c r="D17" i="10"/>
  <c r="D12" i="10"/>
  <c r="I667" i="1"/>
  <c r="C41" i="10"/>
  <c r="D38" i="10" s="1"/>
  <c r="H65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<sst xmlns="http://schemas.openxmlformats.org/spreadsheetml/2006/main" count="3955" uniqueCount="913">
  <si>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</si>
  <si>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</si>
  <si>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</si>
  <si>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</si>
  <si>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</si>
  <si>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</si>
  <si>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</si>
  <si>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</si>
  <si>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</si>
  <si>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</si>
  <si>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</si>
  <si>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</si>
  <si>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</si>
  <si>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</si>
  <si>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</si>
  <si>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</si>
  <si>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</si>
  <si>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</si>
  <si>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</si>
  <si>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</si>
  <si>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</si>
  <si>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</si>
  <si>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</si>
  <si>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</si>
  <si>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</si>
  <si>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</si>
  <si>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</si>
  <si>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</si>
  <si>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</si>
  <si>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</si>
  <si>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</si>
  <si>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</si>
  <si>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</si>
  <si>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</si>
  <si>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</si>
  <si>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</si>
  <si>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</si>
  <si>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</si>
  <si>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</si>
  <si>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</si>
  <si>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</si>
  <si>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</si>
  <si>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</si>
  <si>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</si>
  <si>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</si>
  <si>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</si>
  <si>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</si>
  <si>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</si>
  <si>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</si>
  <si>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</si>
  <si>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</si>
  <si>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</si>
  <si>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</si>
  <si>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</si>
  <si>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</si>
  <si>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</si>
  <si>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</si>
  <si>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</si>
  <si>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</si>
  <si>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</si>
  <si>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</si>
  <si>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</si>
  <si>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</si>
  <si>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</si>
  <si>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</si>
  <si>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</si>
  <si>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</si>
  <si>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</si>
  <si>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</si>
  <si>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</si>
  <si>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</si>
  <si>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</si>
  <si>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</si>
  <si>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</si>
  <si>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</si>
  <si>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</si>
  <si>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</si>
  <si>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</si>
  <si>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</si>
  <si>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</si>
  <si>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</si>
  <si>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</si>
  <si>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</si>
  <si>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</si>
  <si>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</si>
  <si>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</si>
  <si>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</si>
  <si>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</si>
  <si>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</si>
  <si>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</si>
  <si>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</si>
  <si>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</si>
  <si>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</si>
  <si>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</si>
  <si>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</si>
  <si>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</si>
  <si>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</si>
  <si>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</si>
  <si>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</si>
  <si>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</si>
  <si>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</si>
  <si>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</si>
  <si>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</si>
  <si>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</si>
  <si>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</si>
  <si>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</si>
  <si>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</si>
  <si>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</si>
  <si>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</si>
  <si>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</si>
  <si>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</si>
  <si>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</si>
  <si>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</si>
  <si>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</si>
  <si>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</si>
  <si>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</si>
  <si>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</si>
  <si>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</si>
  <si>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</si>
  <si>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</si>
  <si>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</si>
  <si>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</si>
  <si>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</si>
  <si>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</si>
  <si>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</si>
  <si>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</si>
  <si>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</si>
  <si>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</si>
  <si>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</si>
  <si>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</si>
  <si>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</si>
  <si>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</si>
  <si>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</si>
  <si>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</si>
  <si>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</si>
  <si>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</si>
  <si>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</si>
  <si>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</si>
  <si>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</si>
  <si>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</si>
  <si>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</si>
  <si>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</si>
  <si>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</si>
  <si>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</si>
  <si>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</si>
  <si>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</si>
  <si>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</si>
  <si>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</si>
  <si>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</si>
  <si>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</si>
  <si>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</si>
  <si>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</si>
  <si>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</si>
  <si>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</si>
  <si>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</si>
  <si>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</si>
  <si>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</si>
  <si>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</si>
  <si>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</si>
  <si>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</si>
  <si>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</si>
  <si>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</si>
  <si>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</si>
  <si>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</si>
  <si>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</si>
  <si>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</si>
  <si>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</si>
  <si>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</si>
  <si>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</si>
  <si>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</si>
  <si>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</si>
  <si>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</si>
  <si>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</si>
  <si>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</si>
  <si>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</si>
  <si>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</si>
  <si>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</si>
  <si>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</si>
  <si>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</si>
  <si>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</si>
  <si>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</si>
  <si>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</si>
  <si>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</si>
  <si>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</si>
  <si>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</si>
  <si>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</si>
  <si>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</si>
  <si>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</si>
  <si>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</si>
  <si>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</si>
  <si>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</si>
  <si>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</si>
  <si>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</si>
  <si>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</si>
  <si>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</si>
  <si>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</si>
  <si>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</si>
  <si>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</si>
  <si>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</si>
  <si>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</si>
  <si>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</si>
  <si>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</si>
  <si>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</si>
  <si>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</si>
  <si>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</si>
  <si>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</si>
  <si>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</si>
  <si>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</si>
  <si>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</si>
  <si>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</si>
  <si>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</si>
  <si>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</si>
  <si>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</si>
  <si>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</si>
  <si>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</si>
  <si>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</si>
  <si>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</si>
  <si>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</si>
  <si>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</si>
  <si>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</si>
  <si>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</si>
  <si>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</si>
  <si>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</si>
  <si>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</si>
  <si>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</si>
  <si>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</si>
  <si>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</si>
  <si>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</si>
  <si>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</si>
  <si>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</si>
  <si>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</si>
  <si>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</si>
  <si>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</si>
  <si>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</si>
  <si>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</si>
  <si>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</si>
  <si>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</si>
  <si>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</si>
  <si>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</si>
  <si>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</si>
  <si>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</si>
  <si>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</si>
  <si>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</si>
  <si>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</si>
  <si>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</si>
  <si>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</si>
  <si>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</si>
  <si>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</si>
  <si>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</si>
  <si>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</si>
  <si>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</si>
  <si>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</si>
  <si>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</si>
  <si>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</si>
  <si>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</si>
  <si>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</si>
  <si>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</si>
  <si>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</si>
  <si>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</si>
  <si>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</si>
  <si>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</si>
  <si>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</si>
  <si>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</si>
  <si>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</si>
  <si>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</si>
  <si>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</si>
  <si>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</si>
  <si>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</si>
  <si>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</si>
  <si>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</si>
  <si>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</si>
  <si>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</si>
  <si>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</si>
  <si>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</si>
  <si>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</si>
  <si>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</si>
  <si>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</si>
  <si>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</si>
  <si>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</si>
  <si>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</si>
  <si>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</si>
  <si>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</si>
  <si>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</si>
  <si>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</si>
  <si>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</si>
  <si>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</si>
  <si>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</si>
  <si>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</si>
  <si>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</si>
  <si>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</si>
  <si>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</si>
  <si>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</si>
  <si>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</si>
  <si>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</si>
  <si>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</si>
  <si>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</si>
  <si>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</si>
  <si>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</si>
  <si>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</si>
  <si>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</si>
  <si>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</si>
  <si>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</si>
  <si>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</si>
  <si>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</si>
  <si>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</si>
  <si>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</si>
  <si>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</si>
  <si>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</si>
  <si>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</si>
  <si>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</si>
  <si>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</si>
  <si>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</si>
  <si>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</si>
  <si>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</si>
  <si>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</si>
  <si>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</si>
  <si>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</si>
  <si>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</si>
  <si>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</si>
  <si>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</si>
  <si>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</si>
  <si>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</si>
  <si>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</si>
  <si>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</si>
  <si>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</si>
  <si>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</si>
  <si>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</si>
  <si>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</si>
  <si>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</si>
  <si>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</si>
  <si>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</si>
  <si>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</si>
  <si>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</si>
  <si>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</si>
  <si>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</si>
  <si>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</si>
  <si>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</si>
  <si>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</si>
  <si>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</si>
  <si>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</si>
  <si>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</si>
  <si>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</si>
  <si>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</si>
  <si>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</si>
  <si>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</si>
  <si>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</si>
  <si>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</si>
  <si>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</si>
  <si>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</si>
  <si>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</si>
  <si>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</si>
  <si>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</si>
  <si>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</si>
  <si>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</si>
  <si>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</si>
  <si>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</si>
  <si>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</si>
  <si>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</si>
  <si>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</si>
  <si>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</si>
  <si>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</si>
  <si>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</si>
  <si>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</si>
  <si>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</si>
  <si>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</si>
  <si>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</si>
  <si>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</si>
  <si>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</si>
  <si>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</si>
  <si>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</si>
  <si>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</si>
  <si>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</si>
  <si>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</si>
  <si>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</si>
  <si>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</si>
  <si>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</si>
  <si>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</si>
  <si>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</si>
  <si>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</si>
  <si>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</si>
  <si>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</si>
  <si>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</si>
  <si>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</si>
  <si>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</si>
  <si>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</si>
  <si>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</si>
  <si>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</si>
  <si>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</si>
  <si>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</si>
  <si>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</si>
  <si>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</si>
  <si>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</si>
  <si>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</si>
  <si>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</si>
  <si>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</si>
  <si>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</si>
  <si>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</si>
  <si>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</si>
  <si>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</si>
  <si>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</si>
  <si>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</si>
  <si>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</si>
  <si>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</si>
  <si>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</si>
  <si>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</si>
  <si>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</si>
  <si>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</si>
  <si>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</si>
  <si>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</si>
  <si>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</si>
  <si>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</si>
  <si>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</si>
  <si>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</si>
  <si>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</si>
  <si>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</si>
  <si>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</si>
  <si>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</si>
  <si>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</si>
  <si>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</si>
  <si>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</si>
  <si>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</si>
  <si>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</si>
  <si>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</si>
  <si>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</si>
  <si>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</si>
  <si>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</si>
  <si>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</si>
  <si>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</si>
  <si>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</si>
  <si>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</si>
  <si>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</si>
  <si>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</si>
  <si>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</si>
  <si>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</si>
  <si>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</si>
  <si>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</si>
  <si>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</si>
  <si>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</si>
  <si>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</si>
  <si>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</si>
  <si>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</si>
  <si>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</si>
  <si>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</si>
  <si>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</si>
  <si>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</si>
  <si>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</si>
  <si>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</si>
  <si>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</si>
  <si>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</si>
  <si>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</si>
  <si>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</si>
  <si>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</si>
  <si>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</si>
  <si>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</si>
  <si>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</si>
  <si>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</si>
  <si>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</si>
  <si>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</si>
  <si>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</si>
  <si>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</si>
  <si>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</si>
  <si>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</si>
  <si>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</si>
  <si>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</si>
  <si>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</si>
  <si>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</si>
  <si>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</si>
  <si>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</si>
  <si>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</si>
  <si>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</si>
  <si>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</si>
  <si>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</si>
  <si>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</si>
  <si>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</si>
  <si>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</si>
  <si>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</si>
  <si>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</si>
  <si>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</si>
  <si>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</si>
  <si>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</si>
  <si>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</si>
  <si>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</si>
  <si>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</si>
  <si>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</si>
  <si>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</si>
  <si>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</si>
  <si>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</si>
  <si>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</si>
  <si>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</si>
  <si>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</si>
  <si>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</si>
  <si>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</si>
  <si>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</si>
  <si>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</si>
  <si>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</si>
  <si>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</si>
  <si>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</si>
  <si>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</si>
  <si>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</si>
  <si>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</si>
  <si>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</si>
  <si>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</si>
  <si>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</si>
  <si>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</si>
  <si>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</si>
  <si>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</si>
  <si>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</si>
  <si>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</si>
  <si>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</si>
  <si>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</si>
  <si>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</si>
  <si>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</si>
  <si>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</si>
  <si>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</si>
  <si>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</si>
  <si>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</si>
  <si>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</si>
  <si>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</si>
  <si>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</si>
  <si>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</si>
  <si>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</si>
  <si>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</si>
  <si>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</si>
  <si>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</si>
  <si>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</si>
  <si>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</si>
  <si>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</si>
  <si>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</si>
  <si>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</si>
  <si>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</si>
  <si>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</si>
  <si>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</si>
  <si>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</si>
  <si>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</si>
  <si>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</si>
  <si>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</si>
  <si>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</si>
  <si>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</si>
  <si>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</si>
  <si>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</si>
  <si>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</si>
  <si>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</si>
  <si>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</si>
  <si>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</si>
  <si>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</si>
  <si>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</si>
  <si>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</si>
  <si>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</si>
  <si>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</si>
  <si>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</si>
  <si>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</si>
  <si>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</si>
  <si>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</si>
  <si>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</si>
  <si>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</si>
  <si>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</si>
  <si>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</si>
  <si>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</si>
  <si>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</si>
  <si>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</si>
  <si>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</si>
  <si>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</si>
  <si>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</si>
  <si>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</si>
  <si>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</si>
  <si>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</si>
  <si>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</si>
  <si>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</si>
  <si>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</si>
  <si>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</si>
  <si>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</si>
  <si>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</si>
  <si>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</si>
  <si>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</si>
  <si>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</si>
  <si>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</si>
  <si>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</si>
  <si>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</si>
  <si>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</si>
  <si>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</si>
  <si>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</si>
  <si>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</si>
  <si>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</si>
  <si>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</si>
  <si>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</si>
  <si>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</si>
  <si>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</si>
  <si>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</si>
  <si>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</si>
  <si>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</si>
  <si>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</si>
  <si>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</si>
  <si>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</si>
  <si>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</si>
  <si>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</si>
  <si>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</si>
  <si>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</si>
  <si>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</si>
  <si>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</si>
  <si>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</si>
  <si>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</si>
  <si>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</si>
  <si>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</si>
  <si>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</si>
  <si>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</si>
  <si>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</si>
  <si>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</si>
  <si>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</si>
  <si>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</si>
  <si>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</si>
  <si>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</si>
  <si>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</si>
  <si>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</si>
  <si>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</si>
  <si>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</si>
  <si>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</si>
  <si>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</si>
  <si>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</si>
  <si>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</si>
  <si>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</si>
  <si>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</si>
  <si>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</si>
  <si>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</si>
  <si>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</si>
  <si>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</si>
  <si>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</si>
  <si>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</si>
  <si>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</si>
  <si>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</si>
  <si>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</si>
  <si>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</si>
  <si>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</si>
  <si>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</si>
  <si>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</si>
  <si>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</si>
  <si>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</si>
  <si>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</si>
  <si>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</si>
  <si>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</si>
  <si>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</si>
  <si>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</si>
  <si>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</si>
  <si>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</si>
  <si>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</si>
  <si>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</si>
  <si>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</si>
  <si>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</si>
  <si>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</si>
  <si>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</si>
  <si>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</si>
  <si>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</si>
  <si>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</si>
  <si>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</si>
  <si>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</si>
  <si>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</si>
  <si>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</si>
  <si>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</si>
  <si>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</si>
  <si>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</si>
  <si>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</si>
  <si>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</si>
  <si>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</si>
  <si>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</si>
  <si>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</si>
  <si>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</si>
  <si>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</si>
  <si>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</si>
  <si>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</si>
  <si>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</si>
  <si>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</si>
  <si>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</si>
  <si>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</si>
  <si>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</si>
  <si>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</si>
  <si>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</si>
  <si>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</si>
  <si>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</si>
  <si>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</si>
  <si>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</si>
  <si>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</si>
  <si>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</si>
  <si>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</si>
  <si>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</si>
  <si>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</si>
  <si>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</si>
  <si>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</si>
  <si>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</si>
  <si>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</si>
  <si>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</si>
  <si>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</si>
  <si>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</si>
  <si>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</si>
  <si>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</si>
  <si>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</si>
  <si>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</si>
  <si>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</si>
  <si>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</si>
  <si>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</si>
  <si>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</si>
  <si>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</si>
  <si>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</si>
  <si>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</si>
  <si>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</si>
  <si>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</si>
  <si>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</si>
  <si>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</si>
  <si>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</si>
  <si>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</si>
  <si>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</si>
  <si>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</si>
  <si>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</si>
  <si>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</si>
  <si>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</si>
  <si>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</si>
  <si>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</si>
  <si>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</si>
  <si>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</si>
  <si>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</si>
  <si>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</si>
  <si>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</si>
  <si>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</si>
  <si>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</si>
  <si>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</si>
  <si>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</si>
  <si>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</si>
  <si>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</si>
  <si>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</si>
  <si>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</si>
  <si>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</si>
  <si>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</si>
  <si>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</si>
  <si>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</si>
  <si>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</si>
  <si>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</si>
  <si>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</si>
  <si>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</si>
  <si>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</si>
  <si>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</si>
  <si>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</si>
  <si>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</si>
  <si>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</si>
  <si>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</si>
  <si>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</si>
  <si>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</si>
  <si>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</si>
  <si>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</si>
  <si>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</si>
  <si>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</si>
  <si>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</si>
  <si>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</si>
  <si>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</si>
  <si>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</si>
  <si>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</si>
  <si>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</si>
  <si>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</si>
  <si>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</si>
  <si>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</si>
  <si>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</si>
  <si>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</si>
  <si>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</si>
  <si>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</si>
  <si>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</si>
  <si>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</si>
  <si>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</si>
  <si>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</si>
  <si>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</si>
  <si>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</si>
  <si>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</si>
  <si>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</si>
  <si>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</si>
  <si>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</si>
  <si>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</si>
  <si>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</si>
  <si>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</si>
  <si>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</si>
  <si>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</si>
  <si>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</si>
  <si>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</si>
  <si>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</si>
  <si>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</si>
  <si>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</si>
  <si>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</si>
  <si>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</si>
  <si>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</si>
  <si>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</si>
  <si>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</si>
  <si>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</si>
  <si>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</si>
  <si>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</si>
  <si>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</si>
  <si>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</si>
  <si>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</si>
  <si>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</si>
  <si>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</si>
  <si>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</si>
  <si>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</si>
  <si>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</si>
  <si>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</si>
  <si>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</si>
  <si>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</si>
  <si>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</si>
  <si>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</si>
  <si>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</si>
  <si>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</si>
  <si>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</si>
  <si>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</si>
  <si>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</si>
  <si>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</si>
  <si>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</si>
  <si>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</si>
  <si>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</si>
  <si>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</si>
  <si>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</si>
  <si>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</si>
  <si>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</si>
  <si>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</si>
  <si>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</si>
  <si>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</si>
  <si>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</si>
  <si>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</si>
  <si>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</si>
  <si>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</si>
  <si>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</si>
  <si>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</si>
  <si>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</si>
  <si>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</si>
  <si>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</si>
  <si>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</si>
  <si>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</si>
  <si>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</si>
  <si>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</si>
  <si>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</si>
  <si>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</si>
  <si>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</si>
  <si>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</si>
  <si>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</si>
  <si>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</si>
  <si>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</si>
  <si>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</si>
  <si>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</si>
  <si>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</si>
  <si>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</si>
  <si>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</si>
  <si>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</si>
  <si>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</si>
  <si>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</si>
  <si>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</si>
  <si>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</si>
  <si>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</si>
  <si>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</si>
  <si>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</si>
  <si>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</si>
  <si>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</si>
  <si>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</si>
  <si>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</si>
  <si>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</si>
  <si>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</si>
  <si>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</si>
  <si>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</si>
  <si>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</si>
  <si>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</si>
  <si>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</si>
  <si>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</si>
  <si>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</si>
  <si>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</si>
  <si>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</si>
  <si>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</si>
  <si>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</si>
  <si>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</si>
  <si>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</si>
  <si>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</si>
  <si>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</si>
  <si>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</si>
  <si>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</si>
  <si>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</si>
  <si>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</si>
  <si>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</si>
  <si>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</si>
  <si>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</si>
  <si>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</si>
  <si>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</si>
  <si>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</si>
  <si>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</si>
  <si>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</si>
  <si>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</si>
  <si>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</si>
  <si>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</si>
  <si>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</si>
  <si>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</si>
  <si>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</si>
  <si>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</si>
  <si>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</si>
  <si>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</si>
  <si>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</si>
  <si>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</si>
  <si>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</si>
  <si>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</si>
  <si>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</si>
  <si>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</si>
  <si>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</si>
  <si>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</si>
  <si>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</si>
  <si>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</si>
  <si>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</si>
  <si>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</si>
  <si>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</si>
  <si>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</si>
  <si>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</si>
  <si>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</si>
  <si>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</si>
  <si>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</si>
  <si>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</si>
  <si>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STRATFORD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</si>
</sst>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06" activePane="bottomRight" state="frozen"/>
      <selection pane="topRight" activeCell="F1" sqref="F1"/>
      <selection pane="bottomLeft" activeCell="A4" sqref="A4"/>
      <selection pane="bottomRight" activeCell="H526" sqref="H526:H52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509</v>
      </c>
      <c r="C2" s="21">
        <v>509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196424.45+1002.78</f>
        <v>197427.23</v>
      </c>
      <c r="G9" s="18"/>
      <c r="H9" s="18"/>
      <c r="I9" s="18"/>
      <c r="J9" s="67">
        <f>SUM(I439)</f>
        <v>363239.7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1723.73+42627.11+811.44</f>
        <v>45162.280000000006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1723.73+811.44</f>
        <v>2535.17</v>
      </c>
      <c r="H14" s="18">
        <v>42627.11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242589.51</v>
      </c>
      <c r="G19" s="41">
        <f>SUM(G9:G18)</f>
        <v>2535.17</v>
      </c>
      <c r="H19" s="41">
        <f>SUM(H9:H18)</f>
        <v>42627.11</v>
      </c>
      <c r="I19" s="41">
        <f>SUM(I9:I18)</f>
        <v>0</v>
      </c>
      <c r="J19" s="41">
        <f>SUM(J9:J18)</f>
        <v>363239.7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1723.73+811.44</f>
        <v>2535.17</v>
      </c>
      <c r="H22" s="18">
        <v>42627.11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2535.17</v>
      </c>
      <c r="H32" s="41">
        <f>SUM(H22:H31)</f>
        <v>42627.11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363239.7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24479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217299.07+811.44</f>
        <v>218110.51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242589.51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363239.7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242589.51</v>
      </c>
      <c r="G52" s="41">
        <f>G51+G32</f>
        <v>2535.17</v>
      </c>
      <c r="H52" s="41">
        <f>H51+H32</f>
        <v>42627.11</v>
      </c>
      <c r="I52" s="41">
        <f>I51+I32</f>
        <v>0</v>
      </c>
      <c r="J52" s="41">
        <f>J51+J32</f>
        <v>363239.7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883808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883808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73500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73500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586.15</v>
      </c>
      <c r="G96" s="18"/>
      <c r="H96" s="18"/>
      <c r="I96" s="18"/>
      <c r="J96" s="18">
        <v>1115.28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6131.15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32228.080000000002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32814.230000000003</v>
      </c>
      <c r="G111" s="41">
        <f>SUM(G96:G110)</f>
        <v>6131.15</v>
      </c>
      <c r="H111" s="41">
        <f>SUM(H96:H110)</f>
        <v>0</v>
      </c>
      <c r="I111" s="41">
        <f>SUM(I96:I110)</f>
        <v>0</v>
      </c>
      <c r="J111" s="41">
        <f>SUM(J96:J110)</f>
        <v>1115.28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990122.23</v>
      </c>
      <c r="G112" s="41">
        <f>G60+G111</f>
        <v>6131.15</v>
      </c>
      <c r="H112" s="41">
        <f>H60+H79+H94+H111</f>
        <v>0</v>
      </c>
      <c r="I112" s="41">
        <f>I60+I111</f>
        <v>0</v>
      </c>
      <c r="J112" s="41">
        <f>J60+J111</f>
        <v>1115.28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837004.07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95336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301.12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932641.19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505.8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505.8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932641.19</v>
      </c>
      <c r="G140" s="41">
        <f>G121+SUM(G136:G137)</f>
        <v>505.8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99361.4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25497.22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33471.38+2246.58+811.44</f>
        <v>36529.4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31113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1626.5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1626.5</v>
      </c>
      <c r="G162" s="41">
        <f>SUM(G150:G161)</f>
        <v>36529.4</v>
      </c>
      <c r="H162" s="41">
        <f>SUM(H150:H161)</f>
        <v>155971.62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5805.31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7431.81</v>
      </c>
      <c r="G169" s="41">
        <f>G147+G162+SUM(G163:G168)</f>
        <v>36529.4</v>
      </c>
      <c r="H169" s="41">
        <f>H147+H162+SUM(H163:H168)</f>
        <v>155971.62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14706.14-811.44</f>
        <v>13894.699999999999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13894.699999999999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13894.699999999999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1930195.23</v>
      </c>
      <c r="G193" s="47">
        <f>G112+G140+G169+G192</f>
        <v>57061.049999999996</v>
      </c>
      <c r="H193" s="47">
        <f>H112+H140+H169+H192</f>
        <v>155971.62</v>
      </c>
      <c r="I193" s="47">
        <f>I112+I140+I169+I192</f>
        <v>0</v>
      </c>
      <c r="J193" s="47">
        <f>J112+J140+J192</f>
        <v>1115.28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300407.6+25763.22+3600+500</f>
        <v>330270.81999999995</v>
      </c>
      <c r="G197" s="18">
        <f>62341.92+1883.94+4408.26+25180.51+42768.48+5433.6+38.25+78.35</f>
        <v>142133.31</v>
      </c>
      <c r="H197" s="18">
        <f>14277.68+359+2839.64+152.22</f>
        <v>17628.54</v>
      </c>
      <c r="I197" s="18">
        <f>366.06+3272.97+122.54+17.97+510.2+199+511.83+65.34+678.76+147.88+158.89+299.63+534.06+279.93+271.65+847.63+159.95+716.81+279.39+169.51+94.07+623.24+8.62+2119+285.84</f>
        <v>12740.77</v>
      </c>
      <c r="J197" s="18"/>
      <c r="K197" s="18">
        <f>80</f>
        <v>80</v>
      </c>
      <c r="L197" s="19">
        <f>SUM(F197:K197)</f>
        <v>502853.43999999994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39500+15913.13</f>
        <v>55413.13</v>
      </c>
      <c r="G198" s="18">
        <f>7123.41+342.51+255.29+4239.05+6189.71+1127.8</f>
        <v>19277.77</v>
      </c>
      <c r="H198" s="18">
        <f>400-6327+9809</f>
        <v>3882</v>
      </c>
      <c r="I198" s="18"/>
      <c r="J198" s="18"/>
      <c r="K198" s="18"/>
      <c r="L198" s="19">
        <f>SUM(F198:K198)</f>
        <v>78572.899999999994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1820</v>
      </c>
      <c r="G200" s="18">
        <f>139.23+30.4+162.68</f>
        <v>332.31</v>
      </c>
      <c r="H200" s="18"/>
      <c r="I200" s="18">
        <f>62.66+164</f>
        <v>226.66</v>
      </c>
      <c r="J200" s="18"/>
      <c r="K200" s="18">
        <v>45</v>
      </c>
      <c r="L200" s="19">
        <f>SUM(F200:K200)</f>
        <v>2423.9699999999998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25680+38605.9</f>
        <v>64285.9</v>
      </c>
      <c r="G202" s="18">
        <f>1942.51+338.34+2953.35</f>
        <v>5234.2</v>
      </c>
      <c r="H202" s="18">
        <f>179+81.5+7506</f>
        <v>7766.5</v>
      </c>
      <c r="I202" s="18">
        <f>190.92+75+235.23</f>
        <v>501.15</v>
      </c>
      <c r="J202" s="18"/>
      <c r="K202" s="18">
        <v>169</v>
      </c>
      <c r="L202" s="19">
        <f t="shared" ref="L202:L208" si="0">SUM(F202:K202)</f>
        <v>77956.75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18400</f>
        <v>18400</v>
      </c>
      <c r="G203" s="18">
        <f>9616.32+171.15+119.27+1380.48+2804.89+281.95+112.78</f>
        <v>14486.84</v>
      </c>
      <c r="H203" s="18">
        <f>9802.66+770.38+165.51+259.5</f>
        <v>10998.05</v>
      </c>
      <c r="I203" s="18">
        <f>310.63+1581.28+136.57</f>
        <v>2028.4799999999998</v>
      </c>
      <c r="J203" s="18">
        <f>279+3328.68+5000</f>
        <v>8607.68</v>
      </c>
      <c r="K203" s="18">
        <v>122</v>
      </c>
      <c r="L203" s="19">
        <f t="shared" si="0"/>
        <v>54643.05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1908</f>
        <v>1908</v>
      </c>
      <c r="G204" s="18">
        <f>158</f>
        <v>158</v>
      </c>
      <c r="H204" s="18">
        <f>10103+75284</f>
        <v>85387</v>
      </c>
      <c r="I204" s="18"/>
      <c r="J204" s="18"/>
      <c r="K204" s="18">
        <f>1812</f>
        <v>1812</v>
      </c>
      <c r="L204" s="19">
        <f t="shared" si="0"/>
        <v>89265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71027.32+29008.8+290</f>
        <v>100326.12000000001</v>
      </c>
      <c r="G205" s="18">
        <f>13754.52+342.42+447.38+7681.84+3209.86+11130.08+2533.53</f>
        <v>39099.629999999997</v>
      </c>
      <c r="H205" s="18">
        <f>302.65+27700.21+794.77</f>
        <v>28797.63</v>
      </c>
      <c r="I205" s="18">
        <f>448.76+5252.04+25.9</f>
        <v>5726.7</v>
      </c>
      <c r="J205" s="18"/>
      <c r="K205" s="18">
        <f>1706.76+1100.13</f>
        <v>2806.8900000000003</v>
      </c>
      <c r="L205" s="19">
        <f t="shared" si="0"/>
        <v>176756.97000000003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48316.84+4602.42</f>
        <v>52919.259999999995</v>
      </c>
      <c r="G207" s="18">
        <f>18568.42+4038.84+3554.72</f>
        <v>26161.98</v>
      </c>
      <c r="H207" s="18">
        <f>18823.3+3610+6000+47075.49+5579+1385.11</f>
        <v>82472.899999999994</v>
      </c>
      <c r="I207" s="18">
        <f>8591.26+14690.3+626.45+35999.43</f>
        <v>59907.44</v>
      </c>
      <c r="J207" s="18">
        <f>434.33+1390.49</f>
        <v>1824.82</v>
      </c>
      <c r="K207" s="18"/>
      <c r="L207" s="19">
        <f t="shared" si="0"/>
        <v>223286.39999999999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48758.32+450+210+3019.3</f>
        <v>52437.62</v>
      </c>
      <c r="I208" s="18"/>
      <c r="J208" s="18"/>
      <c r="K208" s="18"/>
      <c r="L208" s="19">
        <f t="shared" si="0"/>
        <v>52437.62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625343.23</v>
      </c>
      <c r="G211" s="41">
        <f t="shared" si="1"/>
        <v>246884.04</v>
      </c>
      <c r="H211" s="41">
        <f t="shared" si="1"/>
        <v>289370.23999999999</v>
      </c>
      <c r="I211" s="41">
        <f t="shared" si="1"/>
        <v>81131.199999999997</v>
      </c>
      <c r="J211" s="41">
        <f t="shared" si="1"/>
        <v>10432.5</v>
      </c>
      <c r="K211" s="41">
        <f t="shared" si="1"/>
        <v>5034.8900000000003</v>
      </c>
      <c r="L211" s="41">
        <f t="shared" si="1"/>
        <v>1258196.1000000001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349256.4</f>
        <v>349256.4</v>
      </c>
      <c r="I233" s="18"/>
      <c r="J233" s="18"/>
      <c r="K233" s="18"/>
      <c r="L233" s="19">
        <f>SUM(F233:K233)</f>
        <v>349256.4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703+13913.46+37886.92</f>
        <v>52503.38</v>
      </c>
      <c r="I234" s="18"/>
      <c r="J234" s="18"/>
      <c r="K234" s="18"/>
      <c r="L234" s="19">
        <f>SUM(F234:K234)</f>
        <v>52503.38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1027</f>
        <v>1027</v>
      </c>
      <c r="G240" s="18">
        <f>85.56</f>
        <v>85.56</v>
      </c>
      <c r="H240" s="18">
        <f>5439.65+40537.95</f>
        <v>45977.599999999999</v>
      </c>
      <c r="I240" s="18"/>
      <c r="J240" s="18"/>
      <c r="K240" s="18">
        <f>975.26</f>
        <v>975.26</v>
      </c>
      <c r="L240" s="19">
        <f t="shared" si="4"/>
        <v>48065.42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48758.31+9295</f>
        <v>58053.31</v>
      </c>
      <c r="I244" s="18"/>
      <c r="J244" s="18"/>
      <c r="K244" s="18"/>
      <c r="L244" s="19">
        <f t="shared" si="4"/>
        <v>58053.31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1027</v>
      </c>
      <c r="G247" s="41">
        <f t="shared" si="5"/>
        <v>85.56</v>
      </c>
      <c r="H247" s="41">
        <f t="shared" si="5"/>
        <v>505790.69</v>
      </c>
      <c r="I247" s="41">
        <f t="shared" si="5"/>
        <v>0</v>
      </c>
      <c r="J247" s="41">
        <f t="shared" si="5"/>
        <v>0</v>
      </c>
      <c r="K247" s="41">
        <f t="shared" si="5"/>
        <v>975.26</v>
      </c>
      <c r="L247" s="41">
        <f t="shared" si="5"/>
        <v>507878.51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21850</v>
      </c>
      <c r="I255" s="18"/>
      <c r="J255" s="18"/>
      <c r="K255" s="18"/>
      <c r="L255" s="19">
        <f t="shared" si="6"/>
        <v>21850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21850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21850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626370.23</v>
      </c>
      <c r="G257" s="41">
        <f t="shared" si="8"/>
        <v>246969.60000000001</v>
      </c>
      <c r="H257" s="41">
        <f t="shared" si="8"/>
        <v>817010.92999999993</v>
      </c>
      <c r="I257" s="41">
        <f t="shared" si="8"/>
        <v>81131.199999999997</v>
      </c>
      <c r="J257" s="41">
        <f t="shared" si="8"/>
        <v>10432.5</v>
      </c>
      <c r="K257" s="41">
        <f t="shared" si="8"/>
        <v>6010.1500000000005</v>
      </c>
      <c r="L257" s="41">
        <f t="shared" si="8"/>
        <v>1787924.61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14706.14-811.44</f>
        <v>13894.699999999999</v>
      </c>
      <c r="L263" s="19">
        <f>SUM(F263:K263)</f>
        <v>13894.699999999999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18327.599999999999</v>
      </c>
      <c r="L268" s="19">
        <f t="shared" si="9"/>
        <v>18327.599999999999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32222.299999999996</v>
      </c>
      <c r="L270" s="41">
        <f t="shared" si="9"/>
        <v>32222.299999999996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626370.23</v>
      </c>
      <c r="G271" s="42">
        <f t="shared" si="11"/>
        <v>246969.60000000001</v>
      </c>
      <c r="H271" s="42">
        <f t="shared" si="11"/>
        <v>817010.92999999993</v>
      </c>
      <c r="I271" s="42">
        <f t="shared" si="11"/>
        <v>81131.199999999997</v>
      </c>
      <c r="J271" s="42">
        <f t="shared" si="11"/>
        <v>10432.5</v>
      </c>
      <c r="K271" s="42">
        <f t="shared" si="11"/>
        <v>38232.449999999997</v>
      </c>
      <c r="L271" s="42">
        <f t="shared" si="11"/>
        <v>1820146.9100000001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7224+60438.11+3500</f>
        <v>71162.11</v>
      </c>
      <c r="G276" s="18">
        <f>552.65+846.17+7123.41+342.48+239.4+4601.26+6597.72+267.75</f>
        <v>20570.84</v>
      </c>
      <c r="H276" s="18">
        <f>883.58+1726.4+278.4+450+14190+1993+1151.4</f>
        <v>20672.780000000002</v>
      </c>
      <c r="I276" s="18">
        <f>826.64+571.82</f>
        <v>1398.46</v>
      </c>
      <c r="J276" s="18">
        <f>2147+591.43+1779</f>
        <v>4517.43</v>
      </c>
      <c r="K276" s="18"/>
      <c r="L276" s="19">
        <f>SUM(F276:K276)</f>
        <v>118321.62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f>6327+3163.5+3115.8+1557.9+7959.6+3979.8</f>
        <v>26103.599999999999</v>
      </c>
      <c r="I277" s="18"/>
      <c r="J277" s="18"/>
      <c r="K277" s="18"/>
      <c r="L277" s="19">
        <f>SUM(F277:K277)</f>
        <v>26103.599999999999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>
        <v>830</v>
      </c>
      <c r="H284" s="18"/>
      <c r="I284" s="18"/>
      <c r="J284" s="18"/>
      <c r="K284" s="18"/>
      <c r="L284" s="19">
        <f t="shared" si="12"/>
        <v>830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4925+782</f>
        <v>5707</v>
      </c>
      <c r="I287" s="18"/>
      <c r="J287" s="18"/>
      <c r="K287" s="18"/>
      <c r="L287" s="19">
        <f t="shared" si="12"/>
        <v>5707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71162.11</v>
      </c>
      <c r="G290" s="42">
        <f t="shared" si="13"/>
        <v>21400.84</v>
      </c>
      <c r="H290" s="42">
        <f t="shared" si="13"/>
        <v>52483.380000000005</v>
      </c>
      <c r="I290" s="42">
        <f t="shared" si="13"/>
        <v>1398.46</v>
      </c>
      <c r="J290" s="42">
        <f t="shared" si="13"/>
        <v>4517.43</v>
      </c>
      <c r="K290" s="42">
        <f t="shared" si="13"/>
        <v>0</v>
      </c>
      <c r="L290" s="41">
        <f t="shared" si="13"/>
        <v>150962.22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f>3163.5+519.3+1326.6</f>
        <v>5009.3999999999996</v>
      </c>
      <c r="I315" s="18"/>
      <c r="J315" s="18"/>
      <c r="K315" s="18"/>
      <c r="L315" s="19">
        <f>SUM(F315:K315)</f>
        <v>5009.3999999999996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5009.3999999999996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5009.3999999999996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71162.11</v>
      </c>
      <c r="G338" s="41">
        <f t="shared" si="20"/>
        <v>21400.84</v>
      </c>
      <c r="H338" s="41">
        <f t="shared" si="20"/>
        <v>57492.780000000006</v>
      </c>
      <c r="I338" s="41">
        <f t="shared" si="20"/>
        <v>1398.46</v>
      </c>
      <c r="J338" s="41">
        <f t="shared" si="20"/>
        <v>4517.43</v>
      </c>
      <c r="K338" s="41">
        <f t="shared" si="20"/>
        <v>0</v>
      </c>
      <c r="L338" s="41">
        <f t="shared" si="20"/>
        <v>155971.62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71162.11</v>
      </c>
      <c r="G352" s="41">
        <f>G338</f>
        <v>21400.84</v>
      </c>
      <c r="H352" s="41">
        <f>H338</f>
        <v>57492.780000000006</v>
      </c>
      <c r="I352" s="41">
        <f>I338</f>
        <v>1398.46</v>
      </c>
      <c r="J352" s="41">
        <f>J338</f>
        <v>4517.43</v>
      </c>
      <c r="K352" s="47">
        <f>K338+K351</f>
        <v>0</v>
      </c>
      <c r="L352" s="41">
        <f>L338+L351</f>
        <v>155971.62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49554.74+3058.02+1223.2</f>
        <v>53835.959999999992</v>
      </c>
      <c r="I358" s="18"/>
      <c r="J358" s="18">
        <f>3225.09</f>
        <v>3225.09</v>
      </c>
      <c r="K358" s="18"/>
      <c r="L358" s="13">
        <f>SUM(F358:K358)</f>
        <v>57061.049999999988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53835.959999999992</v>
      </c>
      <c r="I362" s="47">
        <f t="shared" si="22"/>
        <v>0</v>
      </c>
      <c r="J362" s="47">
        <f t="shared" si="22"/>
        <v>3225.09</v>
      </c>
      <c r="K362" s="47">
        <f t="shared" si="22"/>
        <v>0</v>
      </c>
      <c r="L362" s="47">
        <f t="shared" si="22"/>
        <v>57061.049999999988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542.49</v>
      </c>
      <c r="I396" s="18"/>
      <c r="J396" s="24" t="s">
        <v>289</v>
      </c>
      <c r="K396" s="24" t="s">
        <v>289</v>
      </c>
      <c r="L396" s="56">
        <f t="shared" si="26"/>
        <v>542.49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418.78</v>
      </c>
      <c r="I397" s="18"/>
      <c r="J397" s="24" t="s">
        <v>289</v>
      </c>
      <c r="K397" s="24" t="s">
        <v>289</v>
      </c>
      <c r="L397" s="56">
        <f t="shared" si="26"/>
        <v>418.78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154.01</v>
      </c>
      <c r="I398" s="18"/>
      <c r="J398" s="24" t="s">
        <v>289</v>
      </c>
      <c r="K398" s="24" t="s">
        <v>289</v>
      </c>
      <c r="L398" s="56">
        <f t="shared" si="26"/>
        <v>154.01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1115.28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1115.28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1115.28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1115.28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363239.7</v>
      </c>
      <c r="H439" s="18"/>
      <c r="I439" s="56">
        <f t="shared" ref="I439:I445" si="33">SUM(F439:H439)</f>
        <v>363239.7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363239.7</v>
      </c>
      <c r="H446" s="13">
        <f>SUM(H439:H445)</f>
        <v>0</v>
      </c>
      <c r="I446" s="13">
        <f>SUM(I439:I445)</f>
        <v>363239.7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363239.7</v>
      </c>
      <c r="H456" s="18"/>
      <c r="I456" s="56">
        <f t="shared" si="34"/>
        <v>363239.7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363239.7</v>
      </c>
      <c r="H460" s="83">
        <f>SUM(H454:H459)</f>
        <v>0</v>
      </c>
      <c r="I460" s="83">
        <f>SUM(I454:I459)</f>
        <v>363239.7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363239.7</v>
      </c>
      <c r="H461" s="42">
        <f>H452+H460</f>
        <v>0</v>
      </c>
      <c r="I461" s="42">
        <f>I452+I460</f>
        <v>363239.7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132541.19</v>
      </c>
      <c r="G465" s="18"/>
      <c r="H465" s="18"/>
      <c r="I465" s="18"/>
      <c r="J465" s="18">
        <v>362124.42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1930195.23</f>
        <v>1930195.23</v>
      </c>
      <c r="G468" s="18">
        <v>57061.05</v>
      </c>
      <c r="H468" s="18">
        <f>155971.62</f>
        <v>155971.62</v>
      </c>
      <c r="I468" s="18"/>
      <c r="J468" s="18">
        <v>1115.28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1930195.23</v>
      </c>
      <c r="G470" s="53">
        <f>SUM(G468:G469)</f>
        <v>57061.05</v>
      </c>
      <c r="H470" s="53">
        <f>SUM(H468:H469)</f>
        <v>155971.62</v>
      </c>
      <c r="I470" s="53">
        <f>SUM(I468:I469)</f>
        <v>0</v>
      </c>
      <c r="J470" s="53">
        <f>SUM(J468:J469)</f>
        <v>1115.28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1820146.91</v>
      </c>
      <c r="G472" s="18">
        <v>57061.05</v>
      </c>
      <c r="H472" s="18">
        <v>155971.62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1820146.91</v>
      </c>
      <c r="G474" s="53">
        <f>SUM(G472:G473)</f>
        <v>57061.05</v>
      </c>
      <c r="H474" s="53">
        <f>SUM(H472:H473)</f>
        <v>155971.62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242589.51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363239.7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55413.13</v>
      </c>
      <c r="G521" s="18">
        <v>19277.77</v>
      </c>
      <c r="H521" s="18">
        <v>38286.92</v>
      </c>
      <c r="I521" s="18"/>
      <c r="J521" s="18"/>
      <c r="K521" s="18"/>
      <c r="L521" s="88">
        <f>SUM(F521:K521)</f>
        <v>112977.81999999999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55413.13</v>
      </c>
      <c r="G524" s="108">
        <f t="shared" ref="G524:L524" si="36">SUM(G521:G523)</f>
        <v>19277.77</v>
      </c>
      <c r="H524" s="108">
        <f t="shared" si="36"/>
        <v>38286.92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112977.81999999999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3482</v>
      </c>
      <c r="I526" s="18"/>
      <c r="J526" s="18"/>
      <c r="K526" s="18"/>
      <c r="L526" s="88">
        <f>SUM(F526:K526)</f>
        <v>3482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14616.46</v>
      </c>
      <c r="I528" s="18"/>
      <c r="J528" s="18"/>
      <c r="K528" s="18"/>
      <c r="L528" s="88">
        <f>SUM(F528:K528)</f>
        <v>14616.46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18098.46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18098.46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27700.21+794.77</f>
        <v>28494.98</v>
      </c>
      <c r="I531" s="18">
        <f>25.9</f>
        <v>25.9</v>
      </c>
      <c r="J531" s="18"/>
      <c r="K531" s="18">
        <f>1100.13</f>
        <v>1100.1300000000001</v>
      </c>
      <c r="L531" s="88">
        <f>SUM(F531:K531)</f>
        <v>29621.010000000002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28494.98</v>
      </c>
      <c r="I534" s="89">
        <f t="shared" si="38"/>
        <v>25.9</v>
      </c>
      <c r="J534" s="89">
        <f t="shared" si="38"/>
        <v>0</v>
      </c>
      <c r="K534" s="89">
        <f t="shared" si="38"/>
        <v>1100.1300000000001</v>
      </c>
      <c r="L534" s="89">
        <f t="shared" si="38"/>
        <v>29621.010000000002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450</v>
      </c>
      <c r="I541" s="18"/>
      <c r="J541" s="18"/>
      <c r="K541" s="18"/>
      <c r="L541" s="88">
        <f>SUM(F541:K541)</f>
        <v>450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9295</v>
      </c>
      <c r="I543" s="18"/>
      <c r="J543" s="18"/>
      <c r="K543" s="18"/>
      <c r="L543" s="88">
        <f>SUM(F543:K543)</f>
        <v>9295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9745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9745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55413.13</v>
      </c>
      <c r="G545" s="89">
        <f t="shared" ref="G545:L545" si="41">G524+G529+G534+G539+G544</f>
        <v>19277.77</v>
      </c>
      <c r="H545" s="89">
        <f t="shared" si="41"/>
        <v>94625.36</v>
      </c>
      <c r="I545" s="89">
        <f t="shared" si="41"/>
        <v>25.9</v>
      </c>
      <c r="J545" s="89">
        <f t="shared" si="41"/>
        <v>0</v>
      </c>
      <c r="K545" s="89">
        <f t="shared" si="41"/>
        <v>1100.1300000000001</v>
      </c>
      <c r="L545" s="89">
        <f t="shared" si="41"/>
        <v>170442.29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112977.81999999999</v>
      </c>
      <c r="G549" s="87">
        <f>L526</f>
        <v>3482</v>
      </c>
      <c r="H549" s="87">
        <f>L531</f>
        <v>29621.010000000002</v>
      </c>
      <c r="I549" s="87">
        <f>L536</f>
        <v>0</v>
      </c>
      <c r="J549" s="87">
        <f>L541</f>
        <v>450</v>
      </c>
      <c r="K549" s="87">
        <f>SUM(F549:J549)</f>
        <v>146530.82999999999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14616.46</v>
      </c>
      <c r="H551" s="87">
        <f>L533</f>
        <v>0</v>
      </c>
      <c r="I551" s="87">
        <f>L538</f>
        <v>0</v>
      </c>
      <c r="J551" s="87">
        <f>L543</f>
        <v>9295</v>
      </c>
      <c r="K551" s="87">
        <f>SUM(F551:J551)</f>
        <v>23911.46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112977.81999999999</v>
      </c>
      <c r="G552" s="89">
        <f t="shared" si="42"/>
        <v>18098.46</v>
      </c>
      <c r="H552" s="89">
        <f t="shared" si="42"/>
        <v>29621.010000000002</v>
      </c>
      <c r="I552" s="89">
        <f t="shared" si="42"/>
        <v>0</v>
      </c>
      <c r="J552" s="89">
        <f t="shared" si="42"/>
        <v>9745</v>
      </c>
      <c r="K552" s="89">
        <f t="shared" si="42"/>
        <v>170442.28999999998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349256.4</v>
      </c>
      <c r="I575" s="87">
        <f>SUM(F575:H575)</f>
        <v>349256.4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37886.92</v>
      </c>
      <c r="I582" s="87">
        <f t="shared" si="47"/>
        <v>37886.92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48758.32</v>
      </c>
      <c r="I591" s="18"/>
      <c r="J591" s="18">
        <v>48758.31</v>
      </c>
      <c r="K591" s="104">
        <f t="shared" ref="K591:K597" si="48">SUM(H591:J591)</f>
        <v>97516.63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450</v>
      </c>
      <c r="I592" s="18"/>
      <c r="J592" s="18">
        <v>9295</v>
      </c>
      <c r="K592" s="104">
        <f t="shared" si="48"/>
        <v>9745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210</v>
      </c>
      <c r="I594" s="18"/>
      <c r="J594" s="18"/>
      <c r="K594" s="104">
        <f t="shared" si="48"/>
        <v>210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3019.3</v>
      </c>
      <c r="I595" s="18"/>
      <c r="J595" s="18"/>
      <c r="K595" s="104">
        <f t="shared" si="48"/>
        <v>3019.3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52437.62</v>
      </c>
      <c r="I598" s="108">
        <f>SUM(I591:I597)</f>
        <v>0</v>
      </c>
      <c r="J598" s="108">
        <f>SUM(J591:J597)</f>
        <v>58053.31</v>
      </c>
      <c r="K598" s="108">
        <f>SUM(K591:K597)</f>
        <v>110490.93000000001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14949.93</v>
      </c>
      <c r="I604" s="18"/>
      <c r="J604" s="18"/>
      <c r="K604" s="104">
        <f>SUM(H604:J604)</f>
        <v>14949.93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14949.93</v>
      </c>
      <c r="I605" s="108">
        <f>SUM(I602:I604)</f>
        <v>0</v>
      </c>
      <c r="J605" s="108">
        <f>SUM(J602:J604)</f>
        <v>0</v>
      </c>
      <c r="K605" s="108">
        <f>SUM(K602:K604)</f>
        <v>14949.93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242589.51</v>
      </c>
      <c r="H617" s="109">
        <f>SUM(F52)</f>
        <v>242589.51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2535.17</v>
      </c>
      <c r="H618" s="109">
        <f>SUM(G52)</f>
        <v>2535.17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42627.11</v>
      </c>
      <c r="H619" s="109">
        <f>SUM(H52)</f>
        <v>42627.11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363239.7</v>
      </c>
      <c r="H621" s="109">
        <f>SUM(J52)</f>
        <v>363239.7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242589.51</v>
      </c>
      <c r="H622" s="109">
        <f>F476</f>
        <v>242589.51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363239.7</v>
      </c>
      <c r="H626" s="109">
        <f>J476</f>
        <v>363239.7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1930195.23</v>
      </c>
      <c r="H627" s="104">
        <f>SUM(F468)</f>
        <v>1930195.23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57061.049999999996</v>
      </c>
      <c r="H628" s="104">
        <f>SUM(G468)</f>
        <v>57061.05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155971.62</v>
      </c>
      <c r="H629" s="104">
        <f>SUM(H468)</f>
        <v>155971.62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1115.28</v>
      </c>
      <c r="H631" s="104">
        <f>SUM(J468)</f>
        <v>1115.28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1820146.9100000001</v>
      </c>
      <c r="H632" s="104">
        <f>SUM(F472)</f>
        <v>1820146.91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155971.62</v>
      </c>
      <c r="H633" s="104">
        <f>SUM(H472)</f>
        <v>155971.62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57061.049999999988</v>
      </c>
      <c r="H635" s="104">
        <f>SUM(G472)</f>
        <v>57061.05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1115.28</v>
      </c>
      <c r="H637" s="164">
        <f>SUM(J468)</f>
        <v>1115.28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363239.7</v>
      </c>
      <c r="H640" s="104">
        <f>SUM(G461)</f>
        <v>363239.7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363239.7</v>
      </c>
      <c r="H642" s="104">
        <f>SUM(I461)</f>
        <v>363239.7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1115.28</v>
      </c>
      <c r="H644" s="104">
        <f>H408</f>
        <v>1115.28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1115.28</v>
      </c>
      <c r="H646" s="104">
        <f>L408</f>
        <v>1115.28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110490.93000000001</v>
      </c>
      <c r="H647" s="104">
        <f>L208+L226+L244</f>
        <v>110490.93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14949.93</v>
      </c>
      <c r="H648" s="104">
        <f>(J257+J338)-(J255+J336)</f>
        <v>14949.93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52437.62</v>
      </c>
      <c r="H649" s="104">
        <f>H598</f>
        <v>52437.62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58053.31</v>
      </c>
      <c r="H651" s="104">
        <f>J598</f>
        <v>58053.31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13894.699999999999</v>
      </c>
      <c r="H652" s="104">
        <f>K263+K345</f>
        <v>13894.699999999999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1466219.37</v>
      </c>
      <c r="G660" s="19">
        <f>(L229+L309+L359)</f>
        <v>0</v>
      </c>
      <c r="H660" s="19">
        <f>(L247+L328+L360)</f>
        <v>512887.91000000003</v>
      </c>
      <c r="I660" s="19">
        <f>SUM(F660:H660)</f>
        <v>1979107.2800000003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6131.15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6131.15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58144.62</v>
      </c>
      <c r="G662" s="19">
        <f>(L226+L306)-(J226+J306)</f>
        <v>0</v>
      </c>
      <c r="H662" s="19">
        <f>(L244+L325)-(J244+J325)</f>
        <v>58053.31</v>
      </c>
      <c r="I662" s="19">
        <f>SUM(F662:H662)</f>
        <v>116197.93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14949.93</v>
      </c>
      <c r="G663" s="199">
        <f>SUM(G575:G587)+SUM(I602:I604)+L612</f>
        <v>0</v>
      </c>
      <c r="H663" s="199">
        <f>SUM(H575:H587)+SUM(J602:J604)+L613</f>
        <v>387143.32</v>
      </c>
      <c r="I663" s="19">
        <f>SUM(F663:H663)</f>
        <v>402093.25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1386993.6700000002</v>
      </c>
      <c r="G664" s="19">
        <f>G660-SUM(G661:G663)</f>
        <v>0</v>
      </c>
      <c r="H664" s="19">
        <f>H660-SUM(H661:H663)</f>
        <v>67691.280000000028</v>
      </c>
      <c r="I664" s="19">
        <f>I660-SUM(I661:I663)</f>
        <v>1454684.9500000002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60.83</v>
      </c>
      <c r="G665" s="248"/>
      <c r="H665" s="248"/>
      <c r="I665" s="19">
        <f>SUM(F665:H665)</f>
        <v>60.83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22801.15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23913.94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-67691.28</v>
      </c>
      <c r="I669" s="19">
        <f>SUM(F669:H669)</f>
        <v>-67691.28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22801.15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22801.15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STRATFORD SD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401432.92999999993</v>
      </c>
      <c r="C9" s="229">
        <f>'DOE25'!G197+'DOE25'!G215+'DOE25'!G233+'DOE25'!G276+'DOE25'!G295+'DOE25'!G314</f>
        <v>162704.15</v>
      </c>
    </row>
    <row r="10" spans="1:3" x14ac:dyDescent="0.2">
      <c r="A10" t="s">
        <v>779</v>
      </c>
      <c r="B10" s="240">
        <v>401432.93</v>
      </c>
      <c r="C10" s="240">
        <v>162704.15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401432.93</v>
      </c>
      <c r="C13" s="231">
        <f>SUM(C10:C12)</f>
        <v>162704.15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55413.13</v>
      </c>
      <c r="C18" s="229">
        <f>'DOE25'!G198+'DOE25'!G216+'DOE25'!G234+'DOE25'!G277+'DOE25'!G296+'DOE25'!G315</f>
        <v>19277.77</v>
      </c>
    </row>
    <row r="19" spans="1:3" x14ac:dyDescent="0.2">
      <c r="A19" t="s">
        <v>779</v>
      </c>
      <c r="B19" s="240">
        <v>39500</v>
      </c>
      <c r="C19" s="240">
        <v>18060.419999999998</v>
      </c>
    </row>
    <row r="20" spans="1:3" x14ac:dyDescent="0.2">
      <c r="A20" t="s">
        <v>780</v>
      </c>
      <c r="B20" s="240">
        <v>15913.13</v>
      </c>
      <c r="C20" s="240">
        <v>1217.3499999999999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55413.13</v>
      </c>
      <c r="C22" s="231">
        <f>SUM(C19:C21)</f>
        <v>19277.769999999997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1820</v>
      </c>
      <c r="C36" s="235">
        <f>'DOE25'!G200+'DOE25'!G218+'DOE25'!G236+'DOE25'!G279+'DOE25'!G298+'DOE25'!G317</f>
        <v>332.31</v>
      </c>
    </row>
    <row r="37" spans="1:3" x14ac:dyDescent="0.2">
      <c r="A37" t="s">
        <v>779</v>
      </c>
      <c r="B37" s="240">
        <v>1820</v>
      </c>
      <c r="C37" s="240">
        <v>332.31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1820</v>
      </c>
      <c r="C40" s="231">
        <f>SUM(C37:C39)</f>
        <v>332.31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STRATFORD SD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985610.09</v>
      </c>
      <c r="D5" s="20">
        <f>SUM('DOE25'!L197:L200)+SUM('DOE25'!L215:L218)+SUM('DOE25'!L233:L236)-F5-G5</f>
        <v>985485.09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125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77956.75</v>
      </c>
      <c r="D6" s="20">
        <f>'DOE25'!L202+'DOE25'!L220+'DOE25'!L238-F6-G6</f>
        <v>77787.75</v>
      </c>
      <c r="E6" s="243"/>
      <c r="F6" s="255">
        <f>'DOE25'!J202+'DOE25'!J220+'DOE25'!J238</f>
        <v>0</v>
      </c>
      <c r="G6" s="53">
        <f>'DOE25'!K202+'DOE25'!K220+'DOE25'!K238</f>
        <v>169</v>
      </c>
      <c r="H6" s="259"/>
    </row>
    <row r="7" spans="1:9" x14ac:dyDescent="0.2">
      <c r="A7" s="32">
        <v>2200</v>
      </c>
      <c r="B7" t="s">
        <v>834</v>
      </c>
      <c r="C7" s="245">
        <f t="shared" si="0"/>
        <v>54643.05</v>
      </c>
      <c r="D7" s="20">
        <f>'DOE25'!L203+'DOE25'!L221+'DOE25'!L239-F7-G7</f>
        <v>45913.37</v>
      </c>
      <c r="E7" s="243"/>
      <c r="F7" s="255">
        <f>'DOE25'!J203+'DOE25'!J221+'DOE25'!J239</f>
        <v>8607.68</v>
      </c>
      <c r="G7" s="53">
        <f>'DOE25'!K203+'DOE25'!K221+'DOE25'!K239</f>
        <v>122</v>
      </c>
      <c r="H7" s="259"/>
    </row>
    <row r="8" spans="1:9" x14ac:dyDescent="0.2">
      <c r="A8" s="32">
        <v>2300</v>
      </c>
      <c r="B8" t="s">
        <v>802</v>
      </c>
      <c r="C8" s="245">
        <f t="shared" si="0"/>
        <v>69451.109999999971</v>
      </c>
      <c r="D8" s="243"/>
      <c r="E8" s="20">
        <f>'DOE25'!L204+'DOE25'!L222+'DOE25'!L240-F8-G8-D9-D11</f>
        <v>66663.849999999977</v>
      </c>
      <c r="F8" s="255">
        <f>'DOE25'!J204+'DOE25'!J222+'DOE25'!J240</f>
        <v>0</v>
      </c>
      <c r="G8" s="53">
        <f>'DOE25'!K204+'DOE25'!K222+'DOE25'!K240</f>
        <v>2787.26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21508.47</v>
      </c>
      <c r="D9" s="244">
        <v>21508.47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7800</v>
      </c>
      <c r="D10" s="243"/>
      <c r="E10" s="244">
        <v>7800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46370.84</v>
      </c>
      <c r="D11" s="244">
        <v>46370.84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176756.97000000003</v>
      </c>
      <c r="D12" s="20">
        <f>'DOE25'!L205+'DOE25'!L223+'DOE25'!L241-F12-G12</f>
        <v>173950.08000000002</v>
      </c>
      <c r="E12" s="243"/>
      <c r="F12" s="255">
        <f>'DOE25'!J205+'DOE25'!J223+'DOE25'!J241</f>
        <v>0</v>
      </c>
      <c r="G12" s="53">
        <f>'DOE25'!K205+'DOE25'!K223+'DOE25'!K241</f>
        <v>2806.8900000000003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223286.39999999999</v>
      </c>
      <c r="D14" s="20">
        <f>'DOE25'!L207+'DOE25'!L225+'DOE25'!L243-F14-G14</f>
        <v>221461.58</v>
      </c>
      <c r="E14" s="243"/>
      <c r="F14" s="255">
        <f>'DOE25'!J207+'DOE25'!J225+'DOE25'!J243</f>
        <v>1824.82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110490.93</v>
      </c>
      <c r="D15" s="20">
        <f>'DOE25'!L208+'DOE25'!L226+'DOE25'!L244-F15-G15</f>
        <v>110490.93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21850</v>
      </c>
      <c r="D22" s="243"/>
      <c r="E22" s="243"/>
      <c r="F22" s="255">
        <f>'DOE25'!L255+'DOE25'!L336</f>
        <v>21850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57061.049999999988</v>
      </c>
      <c r="D29" s="20">
        <f>'DOE25'!L358+'DOE25'!L359+'DOE25'!L360-'DOE25'!I367-F29-G29</f>
        <v>53835.959999999992</v>
      </c>
      <c r="E29" s="243"/>
      <c r="F29" s="255">
        <f>'DOE25'!J358+'DOE25'!J359+'DOE25'!J360</f>
        <v>3225.09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155971.62</v>
      </c>
      <c r="D31" s="20">
        <f>'DOE25'!L290+'DOE25'!L309+'DOE25'!L328+'DOE25'!L333+'DOE25'!L334+'DOE25'!L335-F31-G31</f>
        <v>151454.19</v>
      </c>
      <c r="E31" s="243"/>
      <c r="F31" s="255">
        <f>'DOE25'!J290+'DOE25'!J309+'DOE25'!J328+'DOE25'!J333+'DOE25'!J334+'DOE25'!J335</f>
        <v>4517.43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1888258.26</v>
      </c>
      <c r="E33" s="246">
        <f>SUM(E5:E31)</f>
        <v>74463.849999999977</v>
      </c>
      <c r="F33" s="246">
        <f>SUM(F5:F31)</f>
        <v>40025.019999999997</v>
      </c>
      <c r="G33" s="246">
        <f>SUM(G5:G31)</f>
        <v>6010.1500000000005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74463.849999999977</v>
      </c>
      <c r="E35" s="249"/>
    </row>
    <row r="36" spans="2:8" ht="12" thickTop="1" x14ac:dyDescent="0.2">
      <c r="B36" t="s">
        <v>815</v>
      </c>
      <c r="D36" s="20">
        <f>D33</f>
        <v>1888258.26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STRATFORD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197427.23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363239.7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45162.280000000006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2535.17</v>
      </c>
      <c r="E13" s="95">
        <f>'DOE25'!H14</f>
        <v>42627.11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242589.51</v>
      </c>
      <c r="D18" s="41">
        <f>SUM(D8:D17)</f>
        <v>2535.17</v>
      </c>
      <c r="E18" s="41">
        <f>SUM(E8:E17)</f>
        <v>42627.11</v>
      </c>
      <c r="F18" s="41">
        <f>SUM(F8:F17)</f>
        <v>0</v>
      </c>
      <c r="G18" s="41">
        <f>SUM(G8:G17)</f>
        <v>363239.7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2535.17</v>
      </c>
      <c r="E21" s="95">
        <f>'DOE25'!H22</f>
        <v>42627.11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2535.17</v>
      </c>
      <c r="E31" s="41">
        <f>SUM(E21:E30)</f>
        <v>42627.11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363239.7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24479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218110.51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242589.51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363239.7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242589.51</v>
      </c>
      <c r="D51" s="41">
        <f>D50+D31</f>
        <v>2535.17</v>
      </c>
      <c r="E51" s="41">
        <f>E50+E31</f>
        <v>42627.11</v>
      </c>
      <c r="F51" s="41">
        <f>F50+F31</f>
        <v>0</v>
      </c>
      <c r="G51" s="41">
        <f>G50+G31</f>
        <v>363239.7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883808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73500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586.15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1115.28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6131.15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32228.080000000002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106314.23</v>
      </c>
      <c r="D62" s="130">
        <f>SUM(D57:D61)</f>
        <v>6131.15</v>
      </c>
      <c r="E62" s="130">
        <f>SUM(E57:E61)</f>
        <v>0</v>
      </c>
      <c r="F62" s="130">
        <f>SUM(F57:F61)</f>
        <v>0</v>
      </c>
      <c r="G62" s="130">
        <f>SUM(G57:G61)</f>
        <v>1115.28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990122.23</v>
      </c>
      <c r="D63" s="22">
        <f>D56+D62</f>
        <v>6131.15</v>
      </c>
      <c r="E63" s="22">
        <f>E56+E62</f>
        <v>0</v>
      </c>
      <c r="F63" s="22">
        <f>F56+F62</f>
        <v>0</v>
      </c>
      <c r="G63" s="22">
        <f>G56+G62</f>
        <v>1115.28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837004.07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95336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301.12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932641.19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505.8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505.8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932641.19</v>
      </c>
      <c r="D81" s="130">
        <f>SUM(D79:D80)+D78+D70</f>
        <v>505.8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1626.5</v>
      </c>
      <c r="D88" s="95">
        <f>SUM('DOE25'!G153:G161)</f>
        <v>36529.4</v>
      </c>
      <c r="E88" s="95">
        <f>SUM('DOE25'!H153:H161)</f>
        <v>155971.62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5805.31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7431.81</v>
      </c>
      <c r="D91" s="131">
        <f>SUM(D85:D90)</f>
        <v>36529.4</v>
      </c>
      <c r="E91" s="131">
        <f>SUM(E85:E90)</f>
        <v>155971.62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13894.699999999999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13894.699999999999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1930195.23</v>
      </c>
      <c r="D104" s="86">
        <f>D63+D81+D91+D103</f>
        <v>57061.049999999996</v>
      </c>
      <c r="E104" s="86">
        <f>E63+E81+E91+E103</f>
        <v>155971.62</v>
      </c>
      <c r="F104" s="86">
        <f>F63+F81+F91+F103</f>
        <v>0</v>
      </c>
      <c r="G104" s="86">
        <f>G63+G81+G103</f>
        <v>1115.28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852109.84</v>
      </c>
      <c r="D109" s="24" t="s">
        <v>289</v>
      </c>
      <c r="E109" s="95">
        <f>('DOE25'!L276)+('DOE25'!L295)+('DOE25'!L314)</f>
        <v>118321.62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131076.28</v>
      </c>
      <c r="D110" s="24" t="s">
        <v>289</v>
      </c>
      <c r="E110" s="95">
        <f>('DOE25'!L277)+('DOE25'!L296)+('DOE25'!L315)</f>
        <v>31113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2423.9699999999998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985610.09</v>
      </c>
      <c r="D115" s="86">
        <f>SUM(D109:D114)</f>
        <v>0</v>
      </c>
      <c r="E115" s="86">
        <f>SUM(E109:E114)</f>
        <v>149434.62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77956.75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54643.05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137330.41999999998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176756.97000000003</v>
      </c>
      <c r="D121" s="24" t="s">
        <v>289</v>
      </c>
      <c r="E121" s="95">
        <f>+('DOE25'!L284)+('DOE25'!L303)+('DOE25'!L322)</f>
        <v>830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223286.39999999999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110490.93</v>
      </c>
      <c r="D124" s="24" t="s">
        <v>289</v>
      </c>
      <c r="E124" s="95">
        <f>+('DOE25'!L287)+('DOE25'!L306)+('DOE25'!L325)</f>
        <v>5707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57061.049999999988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780464.52</v>
      </c>
      <c r="D128" s="86">
        <f>SUM(D118:D127)</f>
        <v>57061.049999999988</v>
      </c>
      <c r="E128" s="86">
        <f>SUM(E118:E127)</f>
        <v>6537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21850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13894.699999999999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1115.28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-1115.28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18327.599999999999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54072.299999999996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1820146.91</v>
      </c>
      <c r="D145" s="86">
        <f>(D115+D128+D144)</f>
        <v>57061.049999999988</v>
      </c>
      <c r="E145" s="86">
        <f>(E115+E128+E144)</f>
        <v>155971.62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STRATFORD SD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22801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22801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970431</v>
      </c>
      <c r="D10" s="182">
        <f>ROUND((C10/$C$28)*100,1)</f>
        <v>48.7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162189</v>
      </c>
      <c r="D11" s="182">
        <f>ROUND((C11/$C$28)*100,1)</f>
        <v>8.1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2424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77957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54643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137330</v>
      </c>
      <c r="D17" s="182">
        <f t="shared" si="0"/>
        <v>6.9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177587</v>
      </c>
      <c r="D18" s="182">
        <f t="shared" si="0"/>
        <v>8.9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223286</v>
      </c>
      <c r="D20" s="182">
        <f t="shared" si="0"/>
        <v>11.2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116198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18327.599999999999</v>
      </c>
      <c r="D26" s="182">
        <f t="shared" si="0"/>
        <v>0.9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50929.85</v>
      </c>
      <c r="D27" s="182">
        <f t="shared" si="0"/>
        <v>2.6</v>
      </c>
    </row>
    <row r="28" spans="1:4" x14ac:dyDescent="0.2">
      <c r="B28" s="187" t="s">
        <v>723</v>
      </c>
      <c r="C28" s="180">
        <f>SUM(C10:C27)</f>
        <v>1991302.4500000002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21850</v>
      </c>
    </row>
    <row r="30" spans="1:4" x14ac:dyDescent="0.2">
      <c r="B30" s="187" t="s">
        <v>729</v>
      </c>
      <c r="C30" s="180">
        <f>SUM(C28:C29)</f>
        <v>2013152.4500000002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883808</v>
      </c>
      <c r="D35" s="182">
        <f t="shared" ref="D35:D40" si="1">ROUND((C35/$C$41)*100,1)</f>
        <v>41.6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107429.51000000001</v>
      </c>
      <c r="D36" s="182">
        <f t="shared" si="1"/>
        <v>5.0999999999999996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932340</v>
      </c>
      <c r="D37" s="182">
        <f t="shared" si="1"/>
        <v>43.9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807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199933</v>
      </c>
      <c r="D39" s="182">
        <f t="shared" si="1"/>
        <v>9.4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2124317.5099999998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STRATFORD SD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2016-08-12T12:03:51Z</cp:lastPrinted>
  <dcterms:created xsi:type="dcterms:W3CDTF">1997-12-04T19:04:30Z</dcterms:created>
  <dcterms:modified xsi:type="dcterms:W3CDTF">2016-09-14T18:25:09Z</dcterms:modified>
</cp:coreProperties>
</file>